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8860" windowHeight="22820" tabRatio="950" activeTab="2"/>
  </bookViews>
  <sheets>
    <sheet name="Pivot Charts" sheetId="1" r:id="rId1"/>
    <sheet name="Pivot Counts" sheetId="2" r:id="rId2"/>
    <sheet name="Main Data" sheetId="3" r:id="rId3"/>
    <sheet name="Antecedent" sheetId="4" r:id="rId4"/>
    <sheet name="Location" sheetId="5" r:id="rId5"/>
    <sheet name="Behavior Incidents" sheetId="6" r:id="rId6"/>
    <sheet name="Admin Action " sheetId="7" r:id="rId7"/>
    <sheet name="Emergency Action" sheetId="8" r:id="rId8"/>
    <sheet name="Program" sheetId="9" r:id="rId9"/>
    <sheet name="Time" sheetId="10" r:id="rId10"/>
    <sheet name="Day " sheetId="11" r:id="rId11"/>
    <sheet name="Month" sheetId="12" r:id="rId12"/>
    <sheet name="Motivation" sheetId="13" r:id="rId13"/>
    <sheet name="Gender" sheetId="14" r:id="rId14"/>
    <sheet name="Injury" sheetId="15" r:id="rId15"/>
    <sheet name="Others Involved" sheetId="16" r:id="rId16"/>
    <sheet name="Proactive Strategy" sheetId="17" r:id="rId17"/>
    <sheet name="Referral-Day-Month" sheetId="18" r:id="rId18"/>
    <sheet name="Lists" sheetId="19" r:id="rId19"/>
    <sheet name="Data for Graph" sheetId="20" r:id="rId20"/>
  </sheets>
  <externalReferences>
    <externalReference r:id="rId24"/>
  </externalReferences>
  <definedNames>
    <definedName name="__B66000">'Main Data'!#REF!</definedName>
    <definedName name="__B75000">'Main Data'!#REF!</definedName>
    <definedName name="__B99999">'Main Data'!#REF!</definedName>
    <definedName name="_B66000" localSheetId="13">'Main Data'!#REF!</definedName>
    <definedName name="_B75000" localSheetId="13">'Main Data'!#REF!</definedName>
    <definedName name="_B99999" localSheetId="13">'Main Data'!#REF!</definedName>
    <definedName name="Action">'Lists'!$K$3:$K$6</definedName>
    <definedName name="Antecedent">'Lists'!$C$3:$C$19</definedName>
    <definedName name="class" localSheetId="13">'Lists'!#REF!</definedName>
    <definedName name="class">'Lists'!#REF!</definedName>
    <definedName name="Consequences">'[1]Data sheet'!$J$2:$J$18</definedName>
    <definedName name="Day">'[1]Data sheet'!$G$2:$G$8</definedName>
    <definedName name="Days">'Lists'!$E$3:$E$9</definedName>
    <definedName name="EA">'Lists'!$K$11:$K$18</definedName>
    <definedName name="Ethnicity" localSheetId="13">'Lists'!#REF!</definedName>
    <definedName name="Ethnicity">'Lists'!#REF!</definedName>
    <definedName name="Function" localSheetId="13">'Lists'!#REF!</definedName>
    <definedName name="Function">'Lists'!#REF!</definedName>
    <definedName name="Gender">'Lists'!$O$13:$O$14</definedName>
    <definedName name="Incident">'Lists'!$A$3:$A$16</definedName>
    <definedName name="Infractions" localSheetId="13">'Lists'!#REF!</definedName>
    <definedName name="Infractions">'Lists'!#REF!</definedName>
    <definedName name="Injury">'Lists'!$G$18:$G$22</definedName>
    <definedName name="Location">'Lists'!$E$12:$E$29</definedName>
    <definedName name="Month">'[1]Data sheet'!$F$2:$F$13</definedName>
    <definedName name="Months">'Lists'!$G$3:$G$14</definedName>
    <definedName name="Motivation">'Lists'!$I$21:$I$30</definedName>
    <definedName name="Others">'Lists'!$O$4:$O$9</definedName>
    <definedName name="othersinvolved">'[1]Data sheet'!$H$2:$H$5</definedName>
    <definedName name="Placement" localSheetId="13">'Lists'!#REF!</definedName>
    <definedName name="Placement">'Lists'!#REF!</definedName>
    <definedName name="Proactive">'Lists'!$A$20:$A$25</definedName>
    <definedName name="Program">'Lists'!$I$3:$I$16</definedName>
    <definedName name="Reactive" localSheetId="13">'Lists'!#REF!</definedName>
    <definedName name="Reactive">'Lists'!#REF!</definedName>
    <definedName name="Reintegration" localSheetId="13">'Lists'!#REF!</definedName>
    <definedName name="Reintegration">'Lists'!#REF!</definedName>
    <definedName name="resprogram">'[1]Data sheet'!$A$2:$A$10</definedName>
    <definedName name="Time">'Lists'!$M$3:$M$26</definedName>
    <definedName name="VADIR" localSheetId="13">'Lists'!#REF!</definedName>
    <definedName name="VADIR">'Lists'!#REF!</definedName>
    <definedName name="Weapon" localSheetId="13">'Lists'!#REF!</definedName>
    <definedName name="Weapon">'Lists'!#REF!</definedName>
  </definedNames>
  <calcPr fullCalcOnLoad="1"/>
  <pivotCaches>
    <pivotCache cacheId="2" r:id="rId21"/>
  </pivotCaches>
</workbook>
</file>

<file path=xl/comments3.xml><?xml version="1.0" encoding="utf-8"?>
<comments xmlns="http://schemas.openxmlformats.org/spreadsheetml/2006/main">
  <authors>
    <author>ROE02</author>
  </authors>
  <commentList>
    <comment ref="F1" authorId="0">
      <text>
        <r>
          <rPr>
            <b/>
            <sz val="8"/>
            <rFont val="Tahoma"/>
            <family val="2"/>
          </rPr>
          <t xml:space="preserve">DATE:
MM/DD/YY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<sst xmlns="http://schemas.openxmlformats.org/spreadsheetml/2006/main" count="844" uniqueCount="245">
  <si>
    <t>Location</t>
  </si>
  <si>
    <t xml:space="preserve">Date </t>
  </si>
  <si>
    <t>Time</t>
  </si>
  <si>
    <t>Locations</t>
  </si>
  <si>
    <t>Possible Motivation</t>
  </si>
  <si>
    <t>Other (O)</t>
  </si>
  <si>
    <t>Others Involved</t>
  </si>
  <si>
    <t>Month</t>
  </si>
  <si>
    <t>Dec</t>
  </si>
  <si>
    <t>Jan</t>
  </si>
  <si>
    <t>Feb</t>
  </si>
  <si>
    <t>Sept</t>
  </si>
  <si>
    <t>Oct</t>
  </si>
  <si>
    <t>Nov</t>
  </si>
  <si>
    <t>Mar</t>
  </si>
  <si>
    <t>April</t>
  </si>
  <si>
    <t>May</t>
  </si>
  <si>
    <t>June</t>
  </si>
  <si>
    <t>Obtain peer attention (OP)</t>
  </si>
  <si>
    <t>Program</t>
  </si>
  <si>
    <t>Day</t>
  </si>
  <si>
    <t>Thursday</t>
  </si>
  <si>
    <t>Friday</t>
  </si>
  <si>
    <t>Saturday</t>
  </si>
  <si>
    <t>Tuesday</t>
  </si>
  <si>
    <t>Days</t>
  </si>
  <si>
    <t>Months</t>
  </si>
  <si>
    <t>Monday</t>
  </si>
  <si>
    <t>Wednesday</t>
  </si>
  <si>
    <t>Sunday</t>
  </si>
  <si>
    <t>February</t>
  </si>
  <si>
    <t>March</t>
  </si>
  <si>
    <t>July</t>
  </si>
  <si>
    <t>August</t>
  </si>
  <si>
    <t>September</t>
  </si>
  <si>
    <t>October</t>
  </si>
  <si>
    <t>November</t>
  </si>
  <si>
    <t>December</t>
  </si>
  <si>
    <t>Staff Request</t>
  </si>
  <si>
    <t>Transition</t>
  </si>
  <si>
    <t>Other</t>
  </si>
  <si>
    <t>Antecedent</t>
  </si>
  <si>
    <t>Antecedent Conditions</t>
  </si>
  <si>
    <t xml:space="preserve">Home Visit </t>
  </si>
  <si>
    <t>Chane in Routine</t>
  </si>
  <si>
    <t>Noisy Environment</t>
  </si>
  <si>
    <t xml:space="preserve">May </t>
  </si>
  <si>
    <t xml:space="preserve">March </t>
  </si>
  <si>
    <t xml:space="preserve">November </t>
  </si>
  <si>
    <t xml:space="preserve">October </t>
  </si>
  <si>
    <t xml:space="preserve">September </t>
  </si>
  <si>
    <t>Staff</t>
  </si>
  <si>
    <t>Unknown</t>
  </si>
  <si>
    <t xml:space="preserve">Antecedent </t>
  </si>
  <si>
    <t>Boredom</t>
  </si>
  <si>
    <t>Kitchen</t>
  </si>
  <si>
    <t>Living Room</t>
  </si>
  <si>
    <t>Office</t>
  </si>
  <si>
    <t>property damage</t>
  </si>
  <si>
    <t>Fire</t>
  </si>
  <si>
    <t>SIB</t>
  </si>
  <si>
    <t>Eloping</t>
  </si>
  <si>
    <t>Medication error</t>
  </si>
  <si>
    <t>Pica</t>
  </si>
  <si>
    <t>Manager</t>
  </si>
  <si>
    <t xml:space="preserve">Peers </t>
  </si>
  <si>
    <t>Staff interaction</t>
  </si>
  <si>
    <t>Staff request</t>
  </si>
  <si>
    <t>Peer interaction</t>
  </si>
  <si>
    <t>Interaction with stranger</t>
  </si>
  <si>
    <t>Noisy environment</t>
  </si>
  <si>
    <t>Illness</t>
  </si>
  <si>
    <t>Prior incident</t>
  </si>
  <si>
    <t>Home visit</t>
  </si>
  <si>
    <t>Name</t>
  </si>
  <si>
    <t>Remove audience</t>
  </si>
  <si>
    <t>Remove Object</t>
  </si>
  <si>
    <t>Blocking</t>
  </si>
  <si>
    <t>Contact Manager</t>
  </si>
  <si>
    <t>Contact Director</t>
  </si>
  <si>
    <t>Doctor Visit</t>
  </si>
  <si>
    <t>Action</t>
  </si>
  <si>
    <t>Problem/Behavior/Incident</t>
  </si>
  <si>
    <t xml:space="preserve">Description </t>
  </si>
  <si>
    <t xml:space="preserve"> Program</t>
  </si>
  <si>
    <t>Avoid Peer Attention</t>
  </si>
  <si>
    <t>Obtain Peer Attention</t>
  </si>
  <si>
    <t>Avoid task</t>
  </si>
  <si>
    <t>Ind. Bedroom</t>
  </si>
  <si>
    <t>Other  Bedroom</t>
  </si>
  <si>
    <t>Dining Room</t>
  </si>
  <si>
    <t>Laundry Room</t>
  </si>
  <si>
    <t>Basement</t>
  </si>
  <si>
    <t>Van</t>
  </si>
  <si>
    <t>Community</t>
  </si>
  <si>
    <t>Outside/ Parking Lot</t>
  </si>
  <si>
    <t>Ind Bedroom</t>
  </si>
  <si>
    <t>Other bedroom</t>
  </si>
  <si>
    <t>Living room</t>
  </si>
  <si>
    <t>Dining room</t>
  </si>
  <si>
    <t>Laundry room</t>
  </si>
  <si>
    <t>Outside/Parking lot</t>
  </si>
  <si>
    <t>Property Damage</t>
  </si>
  <si>
    <t>Non Compliance</t>
  </si>
  <si>
    <t>12noon-1pm</t>
  </si>
  <si>
    <t>6am-7am</t>
  </si>
  <si>
    <t>7am-8am</t>
  </si>
  <si>
    <t>8am-9am</t>
  </si>
  <si>
    <t>9am-10am</t>
  </si>
  <si>
    <t>10am-11am</t>
  </si>
  <si>
    <t>11am-12noon</t>
  </si>
  <si>
    <t>1pm-2pm</t>
  </si>
  <si>
    <t>2pm-3pm</t>
  </si>
  <si>
    <t>3pm-4pm</t>
  </si>
  <si>
    <t>4pm-5pm</t>
  </si>
  <si>
    <t>5pm-6pm</t>
  </si>
  <si>
    <t>6pm-7pm</t>
  </si>
  <si>
    <t>7pm-8pm</t>
  </si>
  <si>
    <t>8pm-9pm</t>
  </si>
  <si>
    <t>9pm-10pm</t>
  </si>
  <si>
    <t>10pm-11pm</t>
  </si>
  <si>
    <t>12am-1am</t>
  </si>
  <si>
    <t>1am-2am</t>
  </si>
  <si>
    <t>2am-3am</t>
  </si>
  <si>
    <t>3am-4am</t>
  </si>
  <si>
    <t>4am-5am</t>
  </si>
  <si>
    <t>5am-6am</t>
  </si>
  <si>
    <t>11pm-12am</t>
  </si>
  <si>
    <t>june</t>
  </si>
  <si>
    <t>may</t>
  </si>
  <si>
    <t>Change routine</t>
  </si>
  <si>
    <t>Staff Interaction</t>
  </si>
  <si>
    <t xml:space="preserve">Peer Interaction </t>
  </si>
  <si>
    <t>Prior Incident</t>
  </si>
  <si>
    <t>Van Transportation</t>
  </si>
  <si>
    <t>Van transportation</t>
  </si>
  <si>
    <t>Medication</t>
  </si>
  <si>
    <t>Avoid Sensory</t>
  </si>
  <si>
    <t>Obtain Sensory</t>
  </si>
  <si>
    <t>Obtain  Peer Attention</t>
  </si>
  <si>
    <t>Obtain Item</t>
  </si>
  <si>
    <t>Avoid Staff Attention</t>
  </si>
  <si>
    <t>Obtain Staff Attention</t>
  </si>
  <si>
    <t>Avoid staff Attention</t>
  </si>
  <si>
    <t>Avoid Task</t>
  </si>
  <si>
    <t>Peers</t>
  </si>
  <si>
    <t>Gender</t>
  </si>
  <si>
    <t>Male</t>
  </si>
  <si>
    <t>Female</t>
  </si>
  <si>
    <t>7m-8pm</t>
  </si>
  <si>
    <t>Behavior Incident</t>
  </si>
  <si>
    <t>Barney frank</t>
  </si>
  <si>
    <t>mary romney</t>
  </si>
  <si>
    <t>tim polente</t>
  </si>
  <si>
    <t>barack obama</t>
  </si>
  <si>
    <t>john mccain</t>
  </si>
  <si>
    <t>michelle bachman</t>
  </si>
  <si>
    <t>rick perry</t>
  </si>
  <si>
    <t>Hillary clinton</t>
  </si>
  <si>
    <t>bill clinton</t>
  </si>
  <si>
    <t>michele Obama</t>
  </si>
  <si>
    <t>Sarah palin</t>
  </si>
  <si>
    <t>J Lartey</t>
  </si>
  <si>
    <t>K Breen</t>
  </si>
  <si>
    <t>K Botwick</t>
  </si>
  <si>
    <t>J Persons</t>
  </si>
  <si>
    <t>C Downs</t>
  </si>
  <si>
    <t>J Hudela</t>
  </si>
  <si>
    <t>M Jalloh</t>
  </si>
  <si>
    <t>B Mastro</t>
  </si>
  <si>
    <t>C Kellogg</t>
  </si>
  <si>
    <t>Abusive language</t>
  </si>
  <si>
    <t>Verbal threat</t>
  </si>
  <si>
    <t>Property damage</t>
  </si>
  <si>
    <t>Physical aggression</t>
  </si>
  <si>
    <t>Fall</t>
  </si>
  <si>
    <t>Challenging Task</t>
  </si>
  <si>
    <t>January</t>
  </si>
  <si>
    <t>Physical altercation</t>
  </si>
  <si>
    <t>Program area</t>
  </si>
  <si>
    <t>Fitness Room</t>
  </si>
  <si>
    <t>Sensory room</t>
  </si>
  <si>
    <t>Fitness room</t>
  </si>
  <si>
    <t>Injury</t>
  </si>
  <si>
    <t>Res Bathroom</t>
  </si>
  <si>
    <t>Work Bathroom</t>
  </si>
  <si>
    <t>Day Hab Bathroom</t>
  </si>
  <si>
    <t>Day Hab</t>
  </si>
  <si>
    <t>Emp</t>
  </si>
  <si>
    <t>CBDS</t>
  </si>
  <si>
    <t>Co Op</t>
  </si>
  <si>
    <t>Motivation</t>
  </si>
  <si>
    <t xml:space="preserve">Proactive Strategy </t>
  </si>
  <si>
    <t>Physical Redirection</t>
  </si>
  <si>
    <t>Verbal Redirection</t>
  </si>
  <si>
    <t>Emergency Restraint</t>
  </si>
  <si>
    <t>Proactive Strategy</t>
  </si>
  <si>
    <t>Contact Guardian</t>
  </si>
  <si>
    <t>Property Damage Resolved</t>
  </si>
  <si>
    <t xml:space="preserve">January </t>
  </si>
  <si>
    <t>Day hab Bathroom</t>
  </si>
  <si>
    <t>Program Area</t>
  </si>
  <si>
    <t>Sensory Room</t>
  </si>
  <si>
    <t>EMP</t>
  </si>
  <si>
    <t>Remove Audience</t>
  </si>
  <si>
    <t xml:space="preserve">Proactive </t>
  </si>
  <si>
    <t>Peer</t>
  </si>
  <si>
    <t>Medical</t>
  </si>
  <si>
    <t>New/Changed environment</t>
  </si>
  <si>
    <t>New/Changed Environment</t>
  </si>
  <si>
    <t>Medication Refusal</t>
  </si>
  <si>
    <t>Inapp Sexual Behavior</t>
  </si>
  <si>
    <t>Physical Aggression</t>
  </si>
  <si>
    <t>Physical Altercation</t>
  </si>
  <si>
    <t>Abusive/Inapp Language</t>
  </si>
  <si>
    <t>Verbal Threat</t>
  </si>
  <si>
    <t>Contact Nurse</t>
  </si>
  <si>
    <t>Self Injurious Behavior</t>
  </si>
  <si>
    <t>Denied Item/Activity</t>
  </si>
  <si>
    <t>Transportation</t>
  </si>
  <si>
    <t>Administrative Action</t>
  </si>
  <si>
    <t>Emergency Action</t>
  </si>
  <si>
    <t>Ambulance</t>
  </si>
  <si>
    <t>Police</t>
  </si>
  <si>
    <t xml:space="preserve">Fire </t>
  </si>
  <si>
    <t>Admin Action</t>
  </si>
  <si>
    <t>Disruptive</t>
  </si>
  <si>
    <t>Problem Behavior Incidents</t>
  </si>
  <si>
    <t>Self</t>
  </si>
  <si>
    <t>Multi</t>
  </si>
  <si>
    <t>Family</t>
  </si>
  <si>
    <t>Grand Total</t>
  </si>
  <si>
    <t>Count of Problem/Behavior/Incident</t>
  </si>
  <si>
    <t>Total</t>
  </si>
  <si>
    <t>Multiple</t>
  </si>
  <si>
    <t>Smith St</t>
  </si>
  <si>
    <t>Ocean St</t>
  </si>
  <si>
    <t>Buckingham</t>
  </si>
  <si>
    <t>Costa Way</t>
  </si>
  <si>
    <t>Roger Circle</t>
  </si>
  <si>
    <t>Cliff Ave</t>
  </si>
  <si>
    <t>Spring St</t>
  </si>
  <si>
    <t>Tower Rd</t>
  </si>
  <si>
    <t>Silver St</t>
  </si>
  <si>
    <t>(blank)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</si>
</sst>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;@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9" fontId="2" fillId="0" borderId="10" xfId="59" applyFont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1" fillId="33" borderId="10" xfId="0" applyFont="1" applyFill="1" applyBorder="1" applyAlignment="1">
      <alignment textRotation="45" wrapText="1"/>
    </xf>
    <xf numFmtId="0" fontId="1" fillId="33" borderId="10" xfId="0" applyFont="1" applyFill="1" applyBorder="1" applyAlignment="1">
      <alignment vertical="center" textRotation="45" wrapText="1"/>
    </xf>
    <xf numFmtId="0" fontId="1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2" fillId="33" borderId="10" xfId="0" applyFont="1" applyFill="1" applyBorder="1" applyAlignment="1">
      <alignment vertical="center" textRotation="45" wrapText="1"/>
    </xf>
    <xf numFmtId="0" fontId="1" fillId="0" borderId="0" xfId="0" applyFont="1" applyFill="1" applyBorder="1" applyAlignment="1">
      <alignment textRotation="45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wrapText="1"/>
    </xf>
    <xf numFmtId="0" fontId="5" fillId="35" borderId="1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textRotation="45" wrapText="1"/>
    </xf>
    <xf numFmtId="0" fontId="0" fillId="33" borderId="10" xfId="0" applyFont="1" applyFill="1" applyBorder="1" applyAlignment="1">
      <alignment textRotation="45" wrapText="1"/>
    </xf>
    <xf numFmtId="0" fontId="0" fillId="0" borderId="0" xfId="0" applyFont="1" applyFill="1" applyBorder="1" applyAlignment="1">
      <alignment textRotation="45" wrapText="1"/>
    </xf>
    <xf numFmtId="0" fontId="0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38" borderId="15" xfId="0" applyFont="1" applyFill="1" applyBorder="1" applyAlignment="1">
      <alignment horizontal="center" wrapText="1"/>
    </xf>
    <xf numFmtId="14" fontId="11" fillId="39" borderId="17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>
      <alignment horizontal="center" vertical="center"/>
    </xf>
    <xf numFmtId="0" fontId="10" fillId="39" borderId="10" xfId="0" applyFont="1" applyFill="1" applyBorder="1" applyAlignment="1" applyProtection="1">
      <alignment horizontal="center" vertical="center"/>
      <protection locked="0"/>
    </xf>
    <xf numFmtId="0" fontId="10" fillId="39" borderId="10" xfId="0" applyFont="1" applyFill="1" applyBorder="1" applyAlignment="1" applyProtection="1">
      <alignment horizontal="center" vertical="center"/>
      <protection/>
    </xf>
    <xf numFmtId="0" fontId="10" fillId="39" borderId="10" xfId="0" applyFont="1" applyFill="1" applyBorder="1" applyAlignment="1" applyProtection="1">
      <alignment horizontal="center" vertical="center" wrapText="1"/>
      <protection locked="0"/>
    </xf>
    <xf numFmtId="0" fontId="11" fillId="39" borderId="17" xfId="0" applyFont="1" applyFill="1" applyBorder="1" applyAlignment="1" applyProtection="1">
      <alignment horizontal="center" vertical="center"/>
      <protection locked="0"/>
    </xf>
    <xf numFmtId="0" fontId="11" fillId="39" borderId="17" xfId="0" applyFont="1" applyFill="1" applyBorder="1" applyAlignment="1" applyProtection="1">
      <alignment horizontal="center" vertical="center" wrapText="1"/>
      <protection locked="0"/>
    </xf>
    <xf numFmtId="0" fontId="11" fillId="40" borderId="17" xfId="0" applyFont="1" applyFill="1" applyBorder="1" applyAlignment="1" applyProtection="1">
      <alignment horizontal="center" vertical="center" wrapText="1"/>
      <protection locked="0"/>
    </xf>
    <xf numFmtId="49" fontId="11" fillId="39" borderId="17" xfId="0" applyNumberFormat="1" applyFont="1" applyFill="1" applyBorder="1" applyAlignment="1" applyProtection="1">
      <alignment horizontal="center" vertical="center"/>
      <protection locked="0"/>
    </xf>
    <xf numFmtId="49" fontId="1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37" borderId="15" xfId="0" applyFill="1" applyBorder="1" applyAlignment="1">
      <alignment wrapText="1"/>
    </xf>
    <xf numFmtId="0" fontId="0" fillId="0" borderId="0" xfId="0" applyFill="1" applyBorder="1" applyAlignment="1">
      <alignment/>
    </xf>
    <xf numFmtId="0" fontId="5" fillId="37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 textRotation="45" wrapText="1"/>
    </xf>
    <xf numFmtId="0" fontId="0" fillId="33" borderId="10" xfId="0" applyFont="1" applyFill="1" applyBorder="1" applyAlignment="1">
      <alignment textRotation="45" wrapText="1"/>
    </xf>
    <xf numFmtId="0" fontId="0" fillId="33" borderId="10" xfId="0" applyFont="1" applyFill="1" applyBorder="1" applyAlignment="1">
      <alignment horizontal="center" textRotation="45"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5" fillId="38" borderId="15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worksheet" Target="worksheets/sheet6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6425"/>
          <c:w val="0.6577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Count of Problem/Behavior/Incident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barack obama</c:v>
              </c:pt>
              <c:pt idx="1">
                <c:v>Barney frank</c:v>
              </c:pt>
              <c:pt idx="2">
                <c:v>bill clinton</c:v>
              </c:pt>
              <c:pt idx="3">
                <c:v>Hillary clinton</c:v>
              </c:pt>
              <c:pt idx="4">
                <c:v>john mccain</c:v>
              </c:pt>
              <c:pt idx="5">
                <c:v>mary romney</c:v>
              </c:pt>
              <c:pt idx="6">
                <c:v>michele Obama</c:v>
              </c:pt>
              <c:pt idx="7">
                <c:v>michelle bachman</c:v>
              </c:pt>
              <c:pt idx="8">
                <c:v>rick perry</c:v>
              </c:pt>
              <c:pt idx="9">
                <c:v>Sarah palin</c:v>
              </c:pt>
              <c:pt idx="10">
                <c:v>tim polente</c:v>
              </c:pt>
              <c:pt idx="11">
                <c:v>(blank)</c:v>
              </c:pt>
              <c:pt idx="12">
                <c:v>Grand Total</c:v>
              </c:pt>
            </c:strLit>
          </c:cat>
          <c:val>
            <c:numLit>
              <c:ptCount val="13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  <c:pt idx="6">
                <c:v>1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2">
                <c:v>30</c:v>
              </c:pt>
            </c:numLit>
          </c:val>
        </c:ser>
        <c:overlap val="100"/>
        <c:axId val="62576542"/>
        <c:axId val="26317967"/>
      </c:barChart>
      <c:catAx>
        <c:axId val="625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17967"/>
        <c:crosses val="autoZero"/>
        <c:auto val="0"/>
        <c:lblOffset val="100"/>
        <c:tickLblSkip val="1"/>
        <c:noMultiLvlLbl val="0"/>
      </c:catAx>
      <c:valAx>
        <c:axId val="2631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4505"/>
          <c:w val="0.296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Incidents by Month</a:t>
            </a:r>
          </a:p>
        </c:rich>
      </c:tx>
      <c:layout>
        <c:manualLayout>
          <c:xMode val="factor"/>
          <c:yMode val="factor"/>
          <c:x val="0.02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925"/>
          <c:w val="0.8855"/>
          <c:h val="0.91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'Data for Graph'!$B$31:$M$31</c:f>
              <c:strCache>
                <c:ptCount val="12"/>
                <c:pt idx="0">
                  <c:v>September </c:v>
                </c:pt>
                <c:pt idx="1">
                  <c:v>October </c:v>
                </c:pt>
                <c:pt idx="2">
                  <c:v>November </c:v>
                </c:pt>
                <c:pt idx="3">
                  <c:v>December</c:v>
                </c:pt>
                <c:pt idx="4">
                  <c:v>January 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 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'Data for Graph'!$B$32:$M$32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axId val="37647576"/>
        <c:axId val="3283865"/>
      </c:barChart>
      <c:catAx>
        <c:axId val="3764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865"/>
        <c:crosses val="autoZero"/>
        <c:auto val="1"/>
        <c:lblOffset val="100"/>
        <c:tickLblSkip val="1"/>
        <c:noMultiLvlLbl val="0"/>
      </c:catAx>
      <c:valAx>
        <c:axId val="3283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7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Motivation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Function of Behavior</a:t>
            </a:r>
          </a:p>
        </c:rich>
      </c:tx>
      <c:layout>
        <c:manualLayout>
          <c:xMode val="factor"/>
          <c:yMode val="factor"/>
          <c:x val="-0.0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25"/>
          <c:y val="0.117"/>
          <c:w val="0.81275"/>
          <c:h val="0.858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'Data for Graph'!$B$23:$K$23</c:f>
              <c:strCache>
                <c:ptCount val="10"/>
                <c:pt idx="0">
                  <c:v>Obtain Staff Attention</c:v>
                </c:pt>
                <c:pt idx="1">
                  <c:v>Avoid Staff Attention</c:v>
                </c:pt>
                <c:pt idx="2">
                  <c:v>Obtain peer attention (OP)</c:v>
                </c:pt>
                <c:pt idx="3">
                  <c:v>Avoid Peer Attention</c:v>
                </c:pt>
                <c:pt idx="4">
                  <c:v>Obtain Item</c:v>
                </c:pt>
                <c:pt idx="5">
                  <c:v>Avoid Task</c:v>
                </c:pt>
                <c:pt idx="6">
                  <c:v>Obtain Sensory</c:v>
                </c:pt>
                <c:pt idx="7">
                  <c:v>Avoid Sensory</c:v>
                </c:pt>
                <c:pt idx="8">
                  <c:v>Other (O)</c:v>
                </c:pt>
                <c:pt idx="9">
                  <c:v>Unknown</c:v>
                </c:pt>
              </c:strCache>
            </c:strRef>
          </c:cat>
          <c:val>
            <c:numRef>
              <c:f>'Data for Graph'!$B$24:$K$24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axId val="29554786"/>
        <c:axId val="64666483"/>
      </c:bar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66483"/>
        <c:crosses val="autoZero"/>
        <c:auto val="1"/>
        <c:lblOffset val="100"/>
        <c:tickLblSkip val="1"/>
        <c:noMultiLvlLbl val="0"/>
      </c:catAx>
      <c:valAx>
        <c:axId val="64666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4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Incidents by Gender</a:t>
            </a:r>
          </a:p>
        </c:rich>
      </c:tx>
      <c:layout>
        <c:manualLayout>
          <c:xMode val="factor"/>
          <c:yMode val="factor"/>
          <c:x val="-0.014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305"/>
          <c:h val="0.744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 for Graph'!$B$41:$C$41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for Graph'!$B$42:$C$42</c:f>
              <c:numCache>
                <c:ptCount val="2"/>
                <c:pt idx="0">
                  <c:v>17</c:v>
                </c:pt>
                <c:pt idx="1">
                  <c:v>13</c:v>
                </c:pt>
              </c:numCache>
            </c:numRef>
          </c:val>
        </c:ser>
        <c:axId val="45127436"/>
        <c:axId val="3493741"/>
      </c:bar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93741"/>
        <c:crosses val="autoZero"/>
        <c:auto val="1"/>
        <c:lblOffset val="100"/>
        <c:tickLblSkip val="1"/>
        <c:noMultiLvlLbl val="0"/>
      </c:catAx>
      <c:valAx>
        <c:axId val="3493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7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Incidents by Gender</a:t>
            </a:r>
          </a:p>
        </c:rich>
      </c:tx>
      <c:layout>
        <c:manualLayout>
          <c:xMode val="factor"/>
          <c:yMode val="factor"/>
          <c:x val="-0.047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27725"/>
          <c:w val="0.59425"/>
          <c:h val="0.64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Other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Graph'!$B$41:$C$41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for Graph'!$B$42:$C$42</c:f>
              <c:numCache>
                <c:ptCount val="2"/>
                <c:pt idx="0">
                  <c:v>17</c:v>
                </c:pt>
                <c:pt idx="1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Injuries from Incidents</a:t>
            </a:r>
          </a:p>
        </c:rich>
      </c:tx>
      <c:layout>
        <c:manualLayout>
          <c:xMode val="factor"/>
          <c:yMode val="factor"/>
          <c:x val="-0.034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2875"/>
          <c:w val="0.9275"/>
          <c:h val="0.735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'Data for Graph'!$B$55:$F$55</c:f>
              <c:strCache>
                <c:ptCount val="5"/>
                <c:pt idx="0">
                  <c:v>Staff</c:v>
                </c:pt>
                <c:pt idx="1">
                  <c:v>Peer</c:v>
                </c:pt>
                <c:pt idx="2">
                  <c:v>Self</c:v>
                </c:pt>
                <c:pt idx="3">
                  <c:v>Multi</c:v>
                </c:pt>
                <c:pt idx="4">
                  <c:v>Other</c:v>
                </c:pt>
              </c:strCache>
            </c:strRef>
          </c:cat>
          <c:val>
            <c:numRef>
              <c:f>'Data for Graph'!$B$56:$F$56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axId val="31443670"/>
        <c:axId val="14557575"/>
      </c:bar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557575"/>
        <c:crosses val="autoZero"/>
        <c:auto val="1"/>
        <c:lblOffset val="100"/>
        <c:tickLblSkip val="1"/>
        <c:noMultiLvlLbl val="0"/>
      </c:catAx>
      <c:valAx>
        <c:axId val="1455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3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Injuries by Injured Party </a:t>
            </a:r>
          </a:p>
        </c:rich>
      </c:tx>
      <c:layout>
        <c:manualLayout>
          <c:xMode val="factor"/>
          <c:yMode val="factor"/>
          <c:x val="-0.020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75"/>
          <c:y val="0.278"/>
          <c:w val="0.55225"/>
          <c:h val="0.64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Other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Graph'!$B$55:$F$55</c:f>
              <c:strCache>
                <c:ptCount val="5"/>
                <c:pt idx="0">
                  <c:v>Staff</c:v>
                </c:pt>
                <c:pt idx="1">
                  <c:v>Peer</c:v>
                </c:pt>
                <c:pt idx="2">
                  <c:v>Self</c:v>
                </c:pt>
                <c:pt idx="3">
                  <c:v>Multi</c:v>
                </c:pt>
                <c:pt idx="4">
                  <c:v>Other</c:v>
                </c:pt>
              </c:strCache>
            </c:strRef>
          </c:cat>
          <c:val>
            <c:numRef>
              <c:f>'Data for Graph'!$B$56:$F$56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Others Involved in Infraction</a:t>
            </a:r>
          </a:p>
        </c:rich>
      </c:tx>
      <c:layout>
        <c:manualLayout>
          <c:xMode val="factor"/>
          <c:yMode val="factor"/>
          <c:x val="-0.05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8"/>
          <c:w val="0.74575"/>
          <c:h val="0.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Graph'!$B$27:$G$27</c:f>
              <c:strCache>
                <c:ptCount val="6"/>
                <c:pt idx="0">
                  <c:v>Staff</c:v>
                </c:pt>
                <c:pt idx="1">
                  <c:v>Manager</c:v>
                </c:pt>
                <c:pt idx="2">
                  <c:v>Peers</c:v>
                </c:pt>
                <c:pt idx="3">
                  <c:v>Family</c:v>
                </c:pt>
                <c:pt idx="4">
                  <c:v>Multiple</c:v>
                </c:pt>
                <c:pt idx="5">
                  <c:v>Other</c:v>
                </c:pt>
              </c:strCache>
            </c:strRef>
          </c:cat>
          <c:val>
            <c:numRef>
              <c:f>'Data for Graph'!$B$28:$G$28</c:f>
              <c:numCache>
                <c:ptCount val="6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12897"/>
        <c:crosses val="autoZero"/>
        <c:auto val="1"/>
        <c:lblOffset val="100"/>
        <c:tickLblSkip val="1"/>
        <c:noMultiLvlLbl val="0"/>
      </c:catAx>
      <c:valAx>
        <c:axId val="38312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9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25"/>
          <c:y val="0.455"/>
          <c:w val="0.075"/>
          <c:h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Proactive Strategy </a:t>
            </a:r>
          </a:p>
        </c:rich>
      </c:tx>
      <c:layout>
        <c:manualLayout>
          <c:xMode val="factor"/>
          <c:yMode val="factor"/>
          <c:x val="-0.04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515"/>
          <c:w val="0.88925"/>
          <c:h val="0.690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'Data for Graph'!$B$52:$G$52</c:f>
              <c:strCache>
                <c:ptCount val="6"/>
                <c:pt idx="0">
                  <c:v>Blocking</c:v>
                </c:pt>
                <c:pt idx="1">
                  <c:v>Remove Object</c:v>
                </c:pt>
                <c:pt idx="2">
                  <c:v>Remove Audience</c:v>
                </c:pt>
                <c:pt idx="3">
                  <c:v>Verbal Redirection</c:v>
                </c:pt>
                <c:pt idx="4">
                  <c:v>Physical Redirection</c:v>
                </c:pt>
                <c:pt idx="5">
                  <c:v>Other</c:v>
                </c:pt>
              </c:strCache>
            </c:strRef>
          </c:cat>
          <c:val>
            <c:numRef>
              <c:f>'Data for Graph'!$B$53:$G$53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1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Behavior Referrals per Day per Month</a:t>
            </a:r>
          </a:p>
        </c:rich>
      </c:tx>
      <c:layout>
        <c:manualLayout>
          <c:xMode val="factor"/>
          <c:yMode val="factor"/>
          <c:x val="-0.06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35"/>
          <c:w val="0.929"/>
          <c:h val="0.845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'Data for Graph'!$B$33:$M$33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'Data for Graph'!$B$34:$M$34</c:f>
              <c:numCache>
                <c:ptCount val="12"/>
                <c:pt idx="0">
                  <c:v>0.13333333333333333</c:v>
                </c:pt>
                <c:pt idx="1">
                  <c:v>0.0967741935483871</c:v>
                </c:pt>
                <c:pt idx="2">
                  <c:v>0.06666666666666667</c:v>
                </c:pt>
                <c:pt idx="3">
                  <c:v>0.06451612903225806</c:v>
                </c:pt>
                <c:pt idx="4">
                  <c:v>0.03225806451612903</c:v>
                </c:pt>
                <c:pt idx="5">
                  <c:v>0.10714285714285714</c:v>
                </c:pt>
                <c:pt idx="6">
                  <c:v>0.0967741935483871</c:v>
                </c:pt>
                <c:pt idx="7">
                  <c:v>0.1</c:v>
                </c:pt>
                <c:pt idx="8">
                  <c:v>0.06451612903225806</c:v>
                </c:pt>
                <c:pt idx="9">
                  <c:v>0.1</c:v>
                </c:pt>
                <c:pt idx="10">
                  <c:v>0.06451612903225806</c:v>
                </c:pt>
                <c:pt idx="11">
                  <c:v>0.06451612903225806</c:v>
                </c:pt>
              </c:numCache>
            </c:numRef>
          </c:val>
        </c:ser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ODR/day/month/100 students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45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Antecedent</a:t>
            </a:r>
          </a:p>
        </c:rich>
      </c:tx>
      <c:layout>
        <c:manualLayout>
          <c:xMode val="factor"/>
          <c:yMode val="factor"/>
          <c:x val="-0.00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525"/>
          <c:w val="0.8845"/>
          <c:h val="0.826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A9CEDC"/>
              </a:solidFill>
              <a:ln w="3175">
                <a:noFill/>
              </a:ln>
            </c:spPr>
          </c:dPt>
          <c:cat>
            <c:strRef>
              <c:f>'Data for Graph'!$B$19:$R$19</c:f>
              <c:strCache>
                <c:ptCount val="17"/>
                <c:pt idx="0">
                  <c:v>Staff Interaction</c:v>
                </c:pt>
                <c:pt idx="1">
                  <c:v>Staff Request</c:v>
                </c:pt>
                <c:pt idx="2">
                  <c:v>Peer Interaction </c:v>
                </c:pt>
                <c:pt idx="3">
                  <c:v>Prior Incident</c:v>
                </c:pt>
                <c:pt idx="4">
                  <c:v>Challenging Task</c:v>
                </c:pt>
                <c:pt idx="5">
                  <c:v>Noisy Environment</c:v>
                </c:pt>
                <c:pt idx="6">
                  <c:v>New/Changed Environment</c:v>
                </c:pt>
                <c:pt idx="7">
                  <c:v>Chane in Routine</c:v>
                </c:pt>
                <c:pt idx="8">
                  <c:v>Home Visit </c:v>
                </c:pt>
                <c:pt idx="9">
                  <c:v>Interaction with stranger</c:v>
                </c:pt>
                <c:pt idx="10">
                  <c:v>Medication</c:v>
                </c:pt>
                <c:pt idx="11">
                  <c:v>Medical</c:v>
                </c:pt>
                <c:pt idx="12">
                  <c:v>Transition</c:v>
                </c:pt>
                <c:pt idx="13">
                  <c:v>Van Transportation</c:v>
                </c:pt>
                <c:pt idx="14">
                  <c:v>Denied Item/Activity</c:v>
                </c:pt>
                <c:pt idx="15">
                  <c:v>Unknown</c:v>
                </c:pt>
                <c:pt idx="16">
                  <c:v>Other</c:v>
                </c:pt>
              </c:strCache>
            </c:strRef>
          </c:cat>
          <c:val>
            <c:numRef>
              <c:f>'Data for Graph'!$B$20:$R$20</c:f>
              <c:numCache>
                <c:ptCount val="1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axId val="35535112"/>
        <c:axId val="51380553"/>
      </c:barChart>
      <c:catAx>
        <c:axId val="355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80553"/>
        <c:crosses val="autoZero"/>
        <c:auto val="1"/>
        <c:lblOffset val="100"/>
        <c:tickLblSkip val="1"/>
        <c:noMultiLvlLbl val="0"/>
      </c:catAx>
      <c:valAx>
        <c:axId val="51380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3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Incidents by Location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31"/>
          <c:w val="0.903"/>
          <c:h val="0.86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3175">
                <a:noFill/>
              </a:ln>
            </c:spPr>
          </c:dPt>
          <c:cat>
            <c:strRef>
              <c:f>'Data for Graph'!$B$3:$S$3</c:f>
              <c:strCache>
                <c:ptCount val="18"/>
                <c:pt idx="0">
                  <c:v>Res Bathroom</c:v>
                </c:pt>
                <c:pt idx="1">
                  <c:v>Work Bathroom</c:v>
                </c:pt>
                <c:pt idx="2">
                  <c:v>Day hab Bathroom</c:v>
                </c:pt>
                <c:pt idx="3">
                  <c:v>Ind. Bedroom</c:v>
                </c:pt>
                <c:pt idx="4">
                  <c:v>Other  Bedroom</c:v>
                </c:pt>
                <c:pt idx="5">
                  <c:v>Kitchen</c:v>
                </c:pt>
                <c:pt idx="6">
                  <c:v>Living Room</c:v>
                </c:pt>
                <c:pt idx="7">
                  <c:v>Dining Room</c:v>
                </c:pt>
                <c:pt idx="8">
                  <c:v>Office</c:v>
                </c:pt>
                <c:pt idx="9">
                  <c:v>Outside/ Parking Lot</c:v>
                </c:pt>
                <c:pt idx="10">
                  <c:v>Program Area</c:v>
                </c:pt>
                <c:pt idx="11">
                  <c:v>Fitness Room</c:v>
                </c:pt>
                <c:pt idx="12">
                  <c:v>Sensory Room</c:v>
                </c:pt>
                <c:pt idx="13">
                  <c:v>Laundry Room</c:v>
                </c:pt>
                <c:pt idx="14">
                  <c:v>Basement</c:v>
                </c:pt>
                <c:pt idx="15">
                  <c:v>Van</c:v>
                </c:pt>
                <c:pt idx="16">
                  <c:v>Community</c:v>
                </c:pt>
                <c:pt idx="17">
                  <c:v>Other</c:v>
                </c:pt>
              </c:strCache>
            </c:strRef>
          </c:cat>
          <c:val>
            <c:numRef>
              <c:f>'Data for Graph'!$B$4:$S$4</c:f>
              <c:numCache>
                <c:ptCount val="1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axId val="59771794"/>
        <c:axId val="1075235"/>
      </c:barChart>
      <c:catAx>
        <c:axId val="5977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235"/>
        <c:crosses val="autoZero"/>
        <c:auto val="1"/>
        <c:lblOffset val="100"/>
        <c:tickLblSkip val="1"/>
        <c:noMultiLvlLbl val="0"/>
      </c:catAx>
      <c:valAx>
        <c:axId val="1075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1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Behavioral Incidents</a:t>
            </a:r>
          </a:p>
        </c:rich>
      </c:tx>
      <c:layout>
        <c:manualLayout>
          <c:xMode val="factor"/>
          <c:yMode val="factor"/>
          <c:x val="-0.01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525"/>
          <c:w val="0.98525"/>
          <c:h val="0.884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cat>
            <c:strRef>
              <c:f>'Data for Graph'!$B$11:$O$11</c:f>
              <c:strCache>
                <c:ptCount val="14"/>
                <c:pt idx="0">
                  <c:v>Disruptive</c:v>
                </c:pt>
                <c:pt idx="1">
                  <c:v>Non Compliance</c:v>
                </c:pt>
                <c:pt idx="2">
                  <c:v>Abusive/Inapp Language</c:v>
                </c:pt>
                <c:pt idx="3">
                  <c:v>Verbal Threat</c:v>
                </c:pt>
                <c:pt idx="4">
                  <c:v>Physical Altercation</c:v>
                </c:pt>
                <c:pt idx="5">
                  <c:v>Physical Aggression</c:v>
                </c:pt>
                <c:pt idx="6">
                  <c:v>Self Injurious Behavior</c:v>
                </c:pt>
                <c:pt idx="7">
                  <c:v>Inapp Sexual Behavior</c:v>
                </c:pt>
                <c:pt idx="8">
                  <c:v>Property Damage</c:v>
                </c:pt>
                <c:pt idx="9">
                  <c:v>Fall</c:v>
                </c:pt>
                <c:pt idx="10">
                  <c:v>Eloping</c:v>
                </c:pt>
                <c:pt idx="11">
                  <c:v>Medication Refusal</c:v>
                </c:pt>
                <c:pt idx="12">
                  <c:v>Pica</c:v>
                </c:pt>
                <c:pt idx="13">
                  <c:v>Other</c:v>
                </c:pt>
              </c:strCache>
            </c:strRef>
          </c:cat>
          <c:val>
            <c:numRef>
              <c:f>'Data for Graph'!$B$12:$O$12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axId val="9677116"/>
        <c:axId val="19985181"/>
      </c:barChart>
      <c:catAx>
        <c:axId val="96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85181"/>
        <c:crosses val="autoZero"/>
        <c:auto val="1"/>
        <c:lblOffset val="100"/>
        <c:tickLblSkip val="1"/>
        <c:noMultiLvlLbl val="0"/>
      </c:catAx>
      <c:valAx>
        <c:axId val="1998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Administrative Action Taken</a:t>
            </a:r>
          </a:p>
        </c:rich>
      </c:tx>
      <c:layout>
        <c:manualLayout>
          <c:xMode val="factor"/>
          <c:yMode val="factor"/>
          <c:x val="0.013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45"/>
          <c:w val="0.8485"/>
          <c:h val="0.76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'Data for Graph'!$B$45:$E$45</c:f>
              <c:strCache>
                <c:ptCount val="4"/>
                <c:pt idx="0">
                  <c:v>Contact Manager</c:v>
                </c:pt>
                <c:pt idx="1">
                  <c:v>Contact Director</c:v>
                </c:pt>
                <c:pt idx="2">
                  <c:v>Contact Guardian</c:v>
                </c:pt>
                <c:pt idx="3">
                  <c:v>Other</c:v>
                </c:pt>
              </c:strCache>
            </c:strRef>
          </c:cat>
          <c:val>
            <c:numRef>
              <c:f>'Data for Graph'!$B$46:$E$46</c:f>
              <c:numCache>
                <c:ptCount val="4"/>
                <c:pt idx="0">
                  <c:v>9</c:v>
                </c:pt>
                <c:pt idx="1">
                  <c:v>11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axId val="45648902"/>
        <c:axId val="8186935"/>
      </c:barChart>
      <c:catAx>
        <c:axId val="4564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86935"/>
        <c:crosses val="autoZero"/>
        <c:auto val="1"/>
        <c:lblOffset val="100"/>
        <c:tickLblSkip val="1"/>
        <c:noMultiLvlLbl val="0"/>
      </c:catAx>
      <c:valAx>
        <c:axId val="8186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Administrative Action Taken</a:t>
            </a:r>
          </a:p>
        </c:rich>
      </c:tx>
      <c:layout>
        <c:manualLayout>
          <c:xMode val="factor"/>
          <c:yMode val="factor"/>
          <c:x val="-0.022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6"/>
          <c:w val="0.85225"/>
          <c:h val="0.81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'Data for Graph'!$B$48:$I$48</c:f>
              <c:strCache>
                <c:ptCount val="8"/>
                <c:pt idx="0">
                  <c:v>Contact Nurse</c:v>
                </c:pt>
                <c:pt idx="1">
                  <c:v>Doctor Visit</c:v>
                </c:pt>
                <c:pt idx="2">
                  <c:v>Ambulance</c:v>
                </c:pt>
                <c:pt idx="3">
                  <c:v>Police</c:v>
                </c:pt>
                <c:pt idx="4">
                  <c:v>Fire </c:v>
                </c:pt>
                <c:pt idx="5">
                  <c:v>Property Damage Resolved</c:v>
                </c:pt>
                <c:pt idx="6">
                  <c:v>Emergency Restraint</c:v>
                </c:pt>
                <c:pt idx="7">
                  <c:v>Other</c:v>
                </c:pt>
              </c:strCache>
            </c:strRef>
          </c:cat>
          <c:val>
            <c:numRef>
              <c:f>'Data for Graph'!$B$49:$I$49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axId val="6573552"/>
        <c:axId val="59161969"/>
      </c:barChart>
      <c:catAx>
        <c:axId val="657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61969"/>
        <c:crosses val="autoZero"/>
        <c:auto val="1"/>
        <c:lblOffset val="100"/>
        <c:tickLblSkip val="1"/>
        <c:noMultiLvlLbl val="0"/>
      </c:catAx>
      <c:valAx>
        <c:axId val="59161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Incidents by Program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"/>
          <c:w val="0.86975"/>
          <c:h val="0.839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cat>
            <c:strRef>
              <c:f>'Data for Graph'!$B$7:$O$7</c:f>
              <c:strCache>
                <c:ptCount val="14"/>
                <c:pt idx="0">
                  <c:v>Smith St</c:v>
                </c:pt>
                <c:pt idx="1">
                  <c:v>Tower Rd</c:v>
                </c:pt>
                <c:pt idx="2">
                  <c:v>Ocean St</c:v>
                </c:pt>
                <c:pt idx="3">
                  <c:v>Buckingham</c:v>
                </c:pt>
                <c:pt idx="4">
                  <c:v>Costa Way</c:v>
                </c:pt>
                <c:pt idx="5">
                  <c:v>Silver St</c:v>
                </c:pt>
                <c:pt idx="6">
                  <c:v>Roger Circle</c:v>
                </c:pt>
                <c:pt idx="7">
                  <c:v>Cliff Ave</c:v>
                </c:pt>
                <c:pt idx="8">
                  <c:v>Spring St</c:v>
                </c:pt>
                <c:pt idx="9">
                  <c:v>Day Hab</c:v>
                </c:pt>
                <c:pt idx="10">
                  <c:v>EMP</c:v>
                </c:pt>
                <c:pt idx="11">
                  <c:v>CBDS</c:v>
                </c:pt>
                <c:pt idx="12">
                  <c:v>Co Op</c:v>
                </c:pt>
                <c:pt idx="13">
                  <c:v>Other</c:v>
                </c:pt>
              </c:strCache>
            </c:strRef>
          </c:cat>
          <c:val>
            <c:numRef>
              <c:f>'Data for Graph'!$B$8:$O$8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90155"/>
        <c:crosses val="autoZero"/>
        <c:auto val="1"/>
        <c:lblOffset val="100"/>
        <c:tickLblSkip val="1"/>
        <c:noMultiLvlLbl val="0"/>
      </c:catAx>
      <c:valAx>
        <c:axId val="27390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Incidents by Time</a:t>
            </a:r>
          </a:p>
        </c:rich>
      </c:tx>
      <c:layout>
        <c:manualLayout>
          <c:xMode val="factor"/>
          <c:yMode val="factor"/>
          <c:x val="-0.01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175"/>
          <c:w val="0.976"/>
          <c:h val="0.81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9B590"/>
              </a:solidFill>
              <a:ln w="3175">
                <a:noFill/>
              </a:ln>
            </c:spPr>
          </c:dPt>
          <c:cat>
            <c:strRef>
              <c:f>'Data for Graph'!$B$15:$Y$15</c:f>
              <c:strCache>
                <c:ptCount val="24"/>
                <c:pt idx="0">
                  <c:v>6am-7am</c:v>
                </c:pt>
                <c:pt idx="1">
                  <c:v>7am-8am</c:v>
                </c:pt>
                <c:pt idx="2">
                  <c:v>8am-9am</c:v>
                </c:pt>
                <c:pt idx="3">
                  <c:v>9am-10am</c:v>
                </c:pt>
                <c:pt idx="4">
                  <c:v>10am-11am</c:v>
                </c:pt>
                <c:pt idx="5">
                  <c:v>11am-12noon</c:v>
                </c:pt>
                <c:pt idx="6">
                  <c:v>12noon-1pm</c:v>
                </c:pt>
                <c:pt idx="7">
                  <c:v>1pm-2pm</c:v>
                </c:pt>
                <c:pt idx="8">
                  <c:v>2pm-3pm</c:v>
                </c:pt>
                <c:pt idx="9">
                  <c:v>3pm-4pm</c:v>
                </c:pt>
                <c:pt idx="10">
                  <c:v>4pm-5pm</c:v>
                </c:pt>
                <c:pt idx="11">
                  <c:v>5pm-6pm</c:v>
                </c:pt>
                <c:pt idx="12">
                  <c:v>6pm-7pm</c:v>
                </c:pt>
                <c:pt idx="13">
                  <c:v>7m-8pm</c:v>
                </c:pt>
                <c:pt idx="14">
                  <c:v>8pm-9pm</c:v>
                </c:pt>
                <c:pt idx="15">
                  <c:v>9pm-10pm</c:v>
                </c:pt>
                <c:pt idx="16">
                  <c:v>10pm-11pm</c:v>
                </c:pt>
                <c:pt idx="17">
                  <c:v>11pm-12am</c:v>
                </c:pt>
                <c:pt idx="18">
                  <c:v>12am-1am</c:v>
                </c:pt>
                <c:pt idx="19">
                  <c:v>1am-2am</c:v>
                </c:pt>
                <c:pt idx="20">
                  <c:v>2am-3am</c:v>
                </c:pt>
                <c:pt idx="21">
                  <c:v>3am-4am</c:v>
                </c:pt>
                <c:pt idx="22">
                  <c:v>4am-5am</c:v>
                </c:pt>
                <c:pt idx="23">
                  <c:v>5am-6am</c:v>
                </c:pt>
              </c:strCache>
            </c:strRef>
          </c:cat>
          <c:val>
            <c:numRef>
              <c:f>'Data for Graph'!$B$16:$Y$16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45184804"/>
        <c:axId val="4010053"/>
      </c:bar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0053"/>
        <c:crosses val="autoZero"/>
        <c:auto val="1"/>
        <c:lblOffset val="100"/>
        <c:tickLblSkip val="1"/>
        <c:noMultiLvlLbl val="0"/>
      </c:catAx>
      <c:valAx>
        <c:axId val="401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Incidents by Day of the Week</a:t>
            </a:r>
          </a:p>
        </c:rich>
      </c:tx>
      <c:layout>
        <c:manualLayout>
          <c:xMode val="factor"/>
          <c:yMode val="factor"/>
          <c:x val="0.03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1"/>
          <c:w val="0.9685"/>
          <c:h val="0.81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'Data for Graph'!$B$37:$H$37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for Graph'!$B$38:$H$38</c:f>
              <c:numCache>
                <c:ptCount val="7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axId val="36090478"/>
        <c:axId val="56378847"/>
      </c:barChart>
      <c:catAx>
        <c:axId val="3609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847"/>
        <c:crosses val="autoZero"/>
        <c:auto val="1"/>
        <c:lblOffset val="100"/>
        <c:tickLblSkip val="1"/>
        <c:noMultiLvlLbl val="0"/>
      </c:catAx>
      <c:valAx>
        <c:axId val="56378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0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11"/>
  </sheetPr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6">
    <tabColor indexed="45"/>
  </sheetPr>
  <sheetViews>
    <sheetView workbookViewId="0" zoomScale="8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indexed="45"/>
  </sheetPr>
  <sheetViews>
    <sheetView workbookViewId="0" zoomScale="9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4">
    <tabColor indexed="25"/>
  </sheetPr>
  <sheetViews>
    <sheetView workbookViewId="0" zoomScale="97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6">
    <tabColor indexed="25"/>
  </sheetPr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7">
    <tabColor indexed="25"/>
  </sheetPr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5"/>
  </sheetPr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>
    <tabColor indexed="25"/>
  </sheetPr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45"/>
  </sheetPr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3">
    <tabColor indexed="25"/>
  </sheetPr>
  <sheetViews>
    <sheetView workbookViewId="0" zoomScale="9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>
    <tabColor indexed="25"/>
  </sheetPr>
  <sheetViews>
    <sheetView workbookViewId="0" zoomScale="9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5"/>
  </sheetPr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28575</xdr:rowOff>
    </xdr:from>
    <xdr:to>
      <xdr:col>9</xdr:col>
      <xdr:colOff>342900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52400" y="676275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542925</xdr:colOff>
      <xdr:row>4</xdr:row>
      <xdr:rowOff>38100</xdr:rowOff>
    </xdr:from>
    <xdr:to>
      <xdr:col>19</xdr:col>
      <xdr:colOff>47625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6448425" y="685800"/>
        <a:ext cx="48196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123825</xdr:rowOff>
    </xdr:from>
    <xdr:to>
      <xdr:col>9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76200" y="609600"/>
        <a:ext cx="56483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3</xdr:row>
      <xdr:rowOff>133350</xdr:rowOff>
    </xdr:from>
    <xdr:to>
      <xdr:col>19</xdr:col>
      <xdr:colOff>247650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5981700" y="619125"/>
        <a:ext cx="54864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owns\AppData\Local\Temp\fcctemp\PBS%20AR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sheet"/>
      <sheetName val="Sheet3"/>
    </sheetNames>
    <sheetDataSet>
      <sheetData sheetId="1">
        <row r="2">
          <cell r="A2" t="str">
            <v>Broad St</v>
          </cell>
          <cell r="F2" t="str">
            <v>January</v>
          </cell>
          <cell r="G2" t="str">
            <v>Sunday</v>
          </cell>
          <cell r="H2" t="str">
            <v>None</v>
          </cell>
          <cell r="J2" t="str">
            <v>Remove audience</v>
          </cell>
        </row>
        <row r="3">
          <cell r="A3" t="str">
            <v>Drinkwater</v>
          </cell>
          <cell r="F3" t="str">
            <v>February</v>
          </cell>
          <cell r="G3" t="str">
            <v>Monday</v>
          </cell>
          <cell r="H3" t="str">
            <v>Staff</v>
          </cell>
          <cell r="J3" t="str">
            <v>Remove Object</v>
          </cell>
        </row>
        <row r="4">
          <cell r="A4" t="str">
            <v>River St</v>
          </cell>
          <cell r="F4" t="str">
            <v>March</v>
          </cell>
          <cell r="G4" t="str">
            <v>Tuesday</v>
          </cell>
          <cell r="H4" t="str">
            <v>Manager</v>
          </cell>
          <cell r="J4" t="str">
            <v>Blocking</v>
          </cell>
        </row>
        <row r="5">
          <cell r="A5" t="str">
            <v>Sherbrooke</v>
          </cell>
          <cell r="F5" t="str">
            <v>April</v>
          </cell>
          <cell r="G5" t="str">
            <v>Wednesday</v>
          </cell>
          <cell r="H5" t="str">
            <v>Peers </v>
          </cell>
          <cell r="J5" t="str">
            <v>Hand over hand</v>
          </cell>
        </row>
        <row r="6">
          <cell r="A6" t="str">
            <v>Pleasant St</v>
          </cell>
          <cell r="F6" t="str">
            <v>May</v>
          </cell>
          <cell r="G6" t="str">
            <v>Thursday</v>
          </cell>
          <cell r="J6" t="str">
            <v>Contact Manager</v>
          </cell>
        </row>
        <row r="7">
          <cell r="A7" t="str">
            <v>Country way</v>
          </cell>
          <cell r="F7" t="str">
            <v>June</v>
          </cell>
          <cell r="G7" t="str">
            <v>Friday</v>
          </cell>
          <cell r="J7" t="str">
            <v>Contact Director</v>
          </cell>
        </row>
        <row r="8">
          <cell r="A8" t="str">
            <v>Rhodes Circle</v>
          </cell>
          <cell r="F8" t="str">
            <v>July</v>
          </cell>
          <cell r="G8" t="str">
            <v>Saturday</v>
          </cell>
          <cell r="J8" t="str">
            <v>Contact Guardian </v>
          </cell>
        </row>
        <row r="9">
          <cell r="A9" t="str">
            <v>Frank Rd</v>
          </cell>
          <cell r="F9" t="str">
            <v>August</v>
          </cell>
          <cell r="J9" t="str">
            <v>Doctor Visit</v>
          </cell>
        </row>
        <row r="10">
          <cell r="A10" t="str">
            <v>Huntington </v>
          </cell>
          <cell r="F10" t="str">
            <v>September</v>
          </cell>
          <cell r="J10" t="str">
            <v>Called 911/ Ambulance</v>
          </cell>
        </row>
        <row r="11">
          <cell r="F11" t="str">
            <v>October</v>
          </cell>
          <cell r="J11" t="str">
            <v>Redirected</v>
          </cell>
        </row>
        <row r="12">
          <cell r="F12" t="str">
            <v>November</v>
          </cell>
          <cell r="J12" t="str">
            <v>Alternate placement</v>
          </cell>
        </row>
        <row r="13">
          <cell r="F13" t="str">
            <v>December</v>
          </cell>
          <cell r="J13" t="str">
            <v>Action Pending</v>
          </cell>
        </row>
        <row r="14">
          <cell r="J14" t="str">
            <v>Police response</v>
          </cell>
        </row>
        <row r="15">
          <cell r="J15" t="str">
            <v>Fire</v>
          </cell>
        </row>
        <row r="16">
          <cell r="J16" t="str">
            <v>Illness</v>
          </cell>
        </row>
        <row r="17">
          <cell r="J17" t="str">
            <v>Property damage resolved</v>
          </cell>
        </row>
        <row r="18">
          <cell r="J18" t="str">
            <v>Verbal Direction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5536" sheet="Main Data"/>
  </cacheSource>
  <cacheFields count="17">
    <cacheField name="Name">
      <sharedItems containsBlank="1" containsMixedTypes="0" count="12">
        <s v="Barney frank"/>
        <s v="mary romney"/>
        <s v="tim polente"/>
        <s v="barack obama"/>
        <s v="john mccain"/>
        <s v="michelle bachman"/>
        <s v="rick perry"/>
        <s v="Hillary clinton"/>
        <s v="bill clinton"/>
        <s v="michele Obama"/>
        <s v="Sarah palin"/>
        <m/>
      </sharedItems>
    </cacheField>
    <cacheField name="Gender">
      <sharedItems containsMixedTypes="0"/>
    </cacheField>
    <cacheField name="Program">
      <sharedItems containsBlank="1" containsMixedTypes="0" count="15">
        <s v="Broad St"/>
        <s v="Drinkwater"/>
        <s v="River St"/>
        <s v="Sherbrooke"/>
        <s v="Pleasant St"/>
        <s v="Country way"/>
        <s v="Rhodes Circle"/>
        <s v="Frank Rd"/>
        <s v="Huntington"/>
        <s v="Co Op"/>
        <s v="Emp"/>
        <s v="CBDS"/>
        <s v="Other"/>
        <s v="Day Hab"/>
        <m/>
      </sharedItems>
    </cacheField>
    <cacheField name="Location">
      <sharedItems containsMixedTypes="0"/>
    </cacheField>
    <cacheField name="Antecedent">
      <sharedItems containsMixedTypes="0"/>
    </cacheField>
    <cacheField name="Problem/Behavior/Incident">
      <sharedItems containsMixedTypes="0"/>
    </cacheField>
    <cacheField name="Injury">
      <sharedItems containsMixedTypes="0"/>
    </cacheField>
    <cacheField name="Motivation">
      <sharedItems containsMixedTypes="0"/>
    </cacheField>
    <cacheField name="Others Involved">
      <sharedItems containsMixedTypes="0"/>
    </cacheField>
    <cacheField name="Proactive Strategy">
      <sharedItems containsMixedTypes="0"/>
    </cacheField>
    <cacheField name="Admin Action">
      <sharedItems containsMixedTypes="0"/>
    </cacheField>
    <cacheField name="Emergency Action">
      <sharedItems containsMixedTypes="0"/>
    </cacheField>
    <cacheField name="Day">
      <sharedItems containsMixedTypes="0"/>
    </cacheField>
    <cacheField name="Month">
      <sharedItems containsMixedTypes="0"/>
    </cacheField>
    <cacheField name="Date ">
      <sharedItems containsDate="1" containsMixedTypes="1"/>
    </cacheField>
    <cacheField name="Time">
      <sharedItems containsMixedTypes="0"/>
    </cacheField>
    <cacheField name="Staff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7">
    <pivotField axis="axisRow" compact="0" outline="0" subtotalTop="0" showAll="0" defaultSubtotal="0">
      <items count="12">
        <item x="3"/>
        <item x="0"/>
        <item x="8"/>
        <item x="7"/>
        <item x="4"/>
        <item x="1"/>
        <item x="9"/>
        <item x="5"/>
        <item x="6"/>
        <item x="10"/>
        <item x="2"/>
        <item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Problem/Behavior/Incident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17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30.421875" style="0" bestFit="1" customWidth="1"/>
    <col min="2" max="2" width="5.00390625" style="0" customWidth="1"/>
    <col min="3" max="13" width="16.140625" style="0" bestFit="1" customWidth="1"/>
    <col min="14" max="14" width="10.421875" style="0" bestFit="1" customWidth="1"/>
    <col min="15" max="16" width="12.421875" style="0" customWidth="1"/>
    <col min="17" max="17" width="10.421875" style="0" customWidth="1"/>
    <col min="18" max="18" width="16.140625" style="0" bestFit="1" customWidth="1"/>
    <col min="19" max="27" width="16.140625" style="0" customWidth="1"/>
    <col min="28" max="28" width="16.140625" style="0" bestFit="1" customWidth="1"/>
    <col min="29" max="30" width="16.140625" style="0" customWidth="1"/>
    <col min="31" max="31" width="10.421875" style="0" customWidth="1"/>
    <col min="32" max="33" width="47.7109375" style="0" customWidth="1"/>
    <col min="34" max="34" width="10.421875" style="0" customWidth="1"/>
    <col min="35" max="35" width="9.28125" style="0" customWidth="1"/>
    <col min="36" max="36" width="14.00390625" style="0" bestFit="1" customWidth="1"/>
    <col min="37" max="37" width="7.421875" style="0" customWidth="1"/>
    <col min="38" max="38" width="12.140625" style="0" bestFit="1" customWidth="1"/>
    <col min="39" max="39" width="9.28125" style="0" bestFit="1" customWidth="1"/>
    <col min="40" max="40" width="14.00390625" style="0" bestFit="1" customWidth="1"/>
    <col min="41" max="41" width="10.421875" style="0" bestFit="1" customWidth="1"/>
  </cols>
  <sheetData>
    <row r="3" spans="1:2" ht="12.75">
      <c r="A3" s="96" t="s">
        <v>232</v>
      </c>
      <c r="B3" s="99"/>
    </row>
    <row r="4" spans="1:2" ht="12.75">
      <c r="A4" s="96" t="s">
        <v>74</v>
      </c>
      <c r="B4" s="99" t="s">
        <v>233</v>
      </c>
    </row>
    <row r="5" spans="1:2" ht="12.75">
      <c r="A5" s="10" t="s">
        <v>154</v>
      </c>
      <c r="B5" s="100">
        <v>2</v>
      </c>
    </row>
    <row r="6" spans="1:2" ht="12.75">
      <c r="A6" s="97" t="s">
        <v>151</v>
      </c>
      <c r="B6" s="101">
        <v>4</v>
      </c>
    </row>
    <row r="7" spans="1:2" ht="12.75">
      <c r="A7" s="97" t="s">
        <v>159</v>
      </c>
      <c r="B7" s="101">
        <v>1</v>
      </c>
    </row>
    <row r="8" spans="1:2" ht="12.75">
      <c r="A8" s="97" t="s">
        <v>158</v>
      </c>
      <c r="B8" s="101">
        <v>1</v>
      </c>
    </row>
    <row r="9" spans="1:2" ht="12.75">
      <c r="A9" s="97" t="s">
        <v>155</v>
      </c>
      <c r="B9" s="101">
        <v>2</v>
      </c>
    </row>
    <row r="10" spans="1:2" ht="12.75">
      <c r="A10" s="97" t="s">
        <v>152</v>
      </c>
      <c r="B10" s="101">
        <v>3</v>
      </c>
    </row>
    <row r="11" spans="1:2" ht="12.75">
      <c r="A11" s="97" t="s">
        <v>160</v>
      </c>
      <c r="B11" s="101">
        <v>1</v>
      </c>
    </row>
    <row r="12" spans="1:2" ht="12.75">
      <c r="A12" s="97" t="s">
        <v>156</v>
      </c>
      <c r="B12" s="101">
        <v>4</v>
      </c>
    </row>
    <row r="13" spans="1:2" ht="12.75">
      <c r="A13" s="97" t="s">
        <v>157</v>
      </c>
      <c r="B13" s="101">
        <v>4</v>
      </c>
    </row>
    <row r="14" spans="1:2" ht="12.75">
      <c r="A14" s="97" t="s">
        <v>161</v>
      </c>
      <c r="B14" s="101">
        <v>4</v>
      </c>
    </row>
    <row r="15" spans="1:2" ht="12.75">
      <c r="A15" s="97" t="s">
        <v>153</v>
      </c>
      <c r="B15" s="101">
        <v>4</v>
      </c>
    </row>
    <row r="16" spans="1:2" ht="12.75">
      <c r="A16" s="97" t="s">
        <v>244</v>
      </c>
      <c r="B16" s="101"/>
    </row>
    <row r="17" spans="1:2" ht="12.75">
      <c r="A17" s="98" t="s">
        <v>231</v>
      </c>
      <c r="B17" s="102">
        <v>30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34.00390625" style="3" customWidth="1"/>
    <col min="2" max="2" width="12.421875" style="3" customWidth="1"/>
    <col min="3" max="3" width="18.421875" style="3" customWidth="1"/>
    <col min="4" max="4" width="15.7109375" style="3" customWidth="1"/>
    <col min="5" max="5" width="15.00390625" style="4" customWidth="1"/>
    <col min="6" max="6" width="16.140625" style="53" customWidth="1"/>
    <col min="7" max="7" width="16.140625" style="5" customWidth="1"/>
    <col min="8" max="8" width="24.421875" style="5" customWidth="1"/>
    <col min="9" max="9" width="26.7109375" style="3" customWidth="1"/>
    <col min="10" max="10" width="37.7109375" style="3" customWidth="1"/>
    <col min="11" max="11" width="23.421875" style="3" customWidth="1"/>
    <col min="12" max="12" width="28.7109375" style="3" customWidth="1"/>
    <col min="13" max="13" width="19.7109375" style="3" customWidth="1"/>
    <col min="14" max="14" width="14.8515625" style="3" customWidth="1"/>
    <col min="15" max="15" width="14.421875" style="3" customWidth="1"/>
    <col min="16" max="16" width="25.421875" style="3" customWidth="1"/>
    <col min="17" max="17" width="25.7109375" style="3" customWidth="1"/>
    <col min="18" max="18" width="37.140625" style="40" customWidth="1"/>
    <col min="19" max="16384" width="9.140625" style="3" customWidth="1"/>
  </cols>
  <sheetData>
    <row r="1" spans="1:18" s="62" customFormat="1" ht="30" customHeight="1">
      <c r="A1" s="54" t="s">
        <v>74</v>
      </c>
      <c r="B1" s="55" t="s">
        <v>146</v>
      </c>
      <c r="C1" s="56" t="s">
        <v>19</v>
      </c>
      <c r="D1" s="57" t="s">
        <v>20</v>
      </c>
      <c r="E1" s="52" t="s">
        <v>7</v>
      </c>
      <c r="F1" s="52" t="s">
        <v>1</v>
      </c>
      <c r="G1" s="60" t="s">
        <v>2</v>
      </c>
      <c r="H1" s="61" t="s">
        <v>51</v>
      </c>
      <c r="I1" s="57" t="s">
        <v>0</v>
      </c>
      <c r="J1" s="57" t="s">
        <v>82</v>
      </c>
      <c r="K1" s="57" t="s">
        <v>191</v>
      </c>
      <c r="L1" s="58" t="s">
        <v>41</v>
      </c>
      <c r="M1" s="58" t="s">
        <v>196</v>
      </c>
      <c r="N1" s="58" t="s">
        <v>6</v>
      </c>
      <c r="O1" s="57" t="s">
        <v>183</v>
      </c>
      <c r="P1" s="58" t="s">
        <v>225</v>
      </c>
      <c r="Q1" s="58" t="s">
        <v>221</v>
      </c>
      <c r="R1" s="59" t="s">
        <v>83</v>
      </c>
    </row>
    <row r="2" spans="1:17" ht="15.75">
      <c r="A2" s="3" t="s">
        <v>154</v>
      </c>
      <c r="B2" s="3" t="s">
        <v>147</v>
      </c>
      <c r="C2" s="3" t="s">
        <v>235</v>
      </c>
      <c r="D2" s="3" t="s">
        <v>22</v>
      </c>
      <c r="E2" s="4" t="s">
        <v>34</v>
      </c>
      <c r="F2" s="4">
        <v>41895</v>
      </c>
      <c r="G2" s="5" t="s">
        <v>121</v>
      </c>
      <c r="H2" s="5" t="s">
        <v>165</v>
      </c>
      <c r="I2" s="3" t="s">
        <v>186</v>
      </c>
      <c r="J2" s="3" t="s">
        <v>226</v>
      </c>
      <c r="K2" s="3" t="s">
        <v>85</v>
      </c>
      <c r="L2" s="3" t="s">
        <v>69</v>
      </c>
      <c r="M2" s="3" t="s">
        <v>204</v>
      </c>
      <c r="N2" s="3" t="s">
        <v>51</v>
      </c>
      <c r="O2" s="3" t="s">
        <v>206</v>
      </c>
      <c r="P2" s="3" t="s">
        <v>79</v>
      </c>
      <c r="Q2" s="3" t="s">
        <v>80</v>
      </c>
    </row>
    <row r="3" spans="1:17" ht="15.75">
      <c r="A3" s="3" t="s">
        <v>154</v>
      </c>
      <c r="B3" s="3" t="s">
        <v>147</v>
      </c>
      <c r="C3" s="3" t="s">
        <v>187</v>
      </c>
      <c r="D3" s="3" t="s">
        <v>28</v>
      </c>
      <c r="E3" s="4" t="s">
        <v>15</v>
      </c>
      <c r="F3" s="4">
        <v>41934</v>
      </c>
      <c r="G3" s="5" t="s">
        <v>119</v>
      </c>
      <c r="H3" s="5" t="s">
        <v>169</v>
      </c>
      <c r="I3" s="3" t="s">
        <v>94</v>
      </c>
      <c r="J3" s="3" t="s">
        <v>211</v>
      </c>
      <c r="K3" s="3" t="s">
        <v>138</v>
      </c>
      <c r="L3" s="3" t="s">
        <v>135</v>
      </c>
      <c r="M3" s="3" t="s">
        <v>77</v>
      </c>
      <c r="N3" s="3" t="s">
        <v>51</v>
      </c>
      <c r="O3" s="3" t="s">
        <v>51</v>
      </c>
      <c r="P3" s="3" t="s">
        <v>78</v>
      </c>
      <c r="Q3" s="3" t="s">
        <v>195</v>
      </c>
    </row>
    <row r="4" spans="1:17" ht="15.75">
      <c r="A4" s="3" t="s">
        <v>151</v>
      </c>
      <c r="B4" s="3" t="s">
        <v>147</v>
      </c>
      <c r="C4" s="3" t="s">
        <v>242</v>
      </c>
      <c r="D4" s="3" t="s">
        <v>24</v>
      </c>
      <c r="E4" s="4" t="s">
        <v>30</v>
      </c>
      <c r="F4" s="4">
        <v>41798</v>
      </c>
      <c r="G4" s="5" t="s">
        <v>104</v>
      </c>
      <c r="H4" s="5" t="s">
        <v>162</v>
      </c>
      <c r="I4" s="3" t="s">
        <v>55</v>
      </c>
      <c r="J4" s="3" t="s">
        <v>210</v>
      </c>
      <c r="K4" s="3" t="s">
        <v>142</v>
      </c>
      <c r="L4" s="3" t="s">
        <v>67</v>
      </c>
      <c r="M4" s="3" t="s">
        <v>193</v>
      </c>
      <c r="N4" s="3" t="s">
        <v>65</v>
      </c>
      <c r="O4" s="3" t="s">
        <v>206</v>
      </c>
      <c r="P4" s="3" t="s">
        <v>79</v>
      </c>
      <c r="Q4" s="3" t="s">
        <v>222</v>
      </c>
    </row>
    <row r="5" spans="1:17" ht="15.75">
      <c r="A5" s="3" t="s">
        <v>151</v>
      </c>
      <c r="B5" s="3" t="s">
        <v>147</v>
      </c>
      <c r="C5" s="3" t="s">
        <v>242</v>
      </c>
      <c r="D5" s="3" t="s">
        <v>27</v>
      </c>
      <c r="E5" s="4" t="s">
        <v>37</v>
      </c>
      <c r="F5" s="4">
        <v>41684</v>
      </c>
      <c r="G5" s="5" t="s">
        <v>113</v>
      </c>
      <c r="H5" s="5" t="s">
        <v>170</v>
      </c>
      <c r="I5" s="3" t="s">
        <v>181</v>
      </c>
      <c r="J5" s="3" t="s">
        <v>58</v>
      </c>
      <c r="K5" s="3" t="s">
        <v>138</v>
      </c>
      <c r="L5" s="3" t="s">
        <v>69</v>
      </c>
      <c r="M5" s="3" t="s">
        <v>76</v>
      </c>
      <c r="N5" s="3" t="s">
        <v>51</v>
      </c>
      <c r="O5" s="3" t="s">
        <v>51</v>
      </c>
      <c r="P5" s="3" t="s">
        <v>197</v>
      </c>
      <c r="Q5" s="3" t="s">
        <v>195</v>
      </c>
    </row>
    <row r="6" spans="1:17" ht="15.75">
      <c r="A6" s="3" t="s">
        <v>151</v>
      </c>
      <c r="B6" s="3" t="s">
        <v>147</v>
      </c>
      <c r="C6" s="3" t="s">
        <v>187</v>
      </c>
      <c r="D6" s="3" t="s">
        <v>27</v>
      </c>
      <c r="E6" s="4" t="s">
        <v>34</v>
      </c>
      <c r="F6" s="4">
        <v>41792</v>
      </c>
      <c r="G6" s="5" t="s">
        <v>126</v>
      </c>
      <c r="H6" s="5" t="s">
        <v>165</v>
      </c>
      <c r="I6" s="3" t="s">
        <v>101</v>
      </c>
      <c r="J6" s="3" t="s">
        <v>210</v>
      </c>
      <c r="K6" s="3" t="s">
        <v>137</v>
      </c>
      <c r="L6" s="3" t="s">
        <v>218</v>
      </c>
      <c r="M6" s="3" t="s">
        <v>194</v>
      </c>
      <c r="N6" s="3" t="s">
        <v>51</v>
      </c>
      <c r="O6" s="3" t="s">
        <v>51</v>
      </c>
      <c r="P6" s="3" t="s">
        <v>197</v>
      </c>
      <c r="Q6" s="3" t="s">
        <v>222</v>
      </c>
    </row>
    <row r="7" spans="1:17" ht="15.75">
      <c r="A7" s="3" t="s">
        <v>151</v>
      </c>
      <c r="B7" s="3" t="s">
        <v>147</v>
      </c>
      <c r="C7" s="3" t="s">
        <v>187</v>
      </c>
      <c r="D7" s="3" t="s">
        <v>22</v>
      </c>
      <c r="E7" s="4" t="s">
        <v>35</v>
      </c>
      <c r="F7" s="4">
        <v>41903</v>
      </c>
      <c r="G7" s="5" t="s">
        <v>115</v>
      </c>
      <c r="H7" s="5" t="s">
        <v>166</v>
      </c>
      <c r="I7" s="3" t="s">
        <v>100</v>
      </c>
      <c r="J7" s="3" t="s">
        <v>174</v>
      </c>
      <c r="K7" s="3" t="s">
        <v>40</v>
      </c>
      <c r="L7" s="3" t="s">
        <v>218</v>
      </c>
      <c r="M7" s="3" t="s">
        <v>40</v>
      </c>
      <c r="O7" s="3" t="s">
        <v>228</v>
      </c>
      <c r="P7" s="3" t="s">
        <v>79</v>
      </c>
      <c r="Q7" s="3" t="s">
        <v>59</v>
      </c>
    </row>
    <row r="8" spans="1:17" ht="15.75">
      <c r="A8" s="3" t="s">
        <v>159</v>
      </c>
      <c r="B8" s="3" t="s">
        <v>147</v>
      </c>
      <c r="C8" s="3" t="s">
        <v>237</v>
      </c>
      <c r="D8" s="3" t="s">
        <v>22</v>
      </c>
      <c r="E8" s="4" t="s">
        <v>15</v>
      </c>
      <c r="F8" s="4">
        <v>41934</v>
      </c>
      <c r="G8" s="5" t="s">
        <v>106</v>
      </c>
      <c r="H8" s="5" t="s">
        <v>169</v>
      </c>
      <c r="I8" s="3" t="s">
        <v>98</v>
      </c>
      <c r="J8" s="3" t="s">
        <v>178</v>
      </c>
      <c r="K8" s="3" t="s">
        <v>85</v>
      </c>
      <c r="L8" s="3" t="s">
        <v>52</v>
      </c>
      <c r="M8" s="3" t="s">
        <v>76</v>
      </c>
      <c r="N8" s="3" t="s">
        <v>40</v>
      </c>
      <c r="O8" s="3" t="s">
        <v>51</v>
      </c>
      <c r="P8" s="3" t="s">
        <v>197</v>
      </c>
      <c r="Q8" s="3" t="s">
        <v>195</v>
      </c>
    </row>
    <row r="9" spans="1:17" ht="15.75">
      <c r="A9" s="3" t="s">
        <v>158</v>
      </c>
      <c r="B9" s="3" t="s">
        <v>148</v>
      </c>
      <c r="C9" s="3" t="s">
        <v>243</v>
      </c>
      <c r="D9" s="3" t="s">
        <v>21</v>
      </c>
      <c r="E9" s="4" t="s">
        <v>30</v>
      </c>
      <c r="F9" s="4">
        <v>41988</v>
      </c>
      <c r="G9" s="5" t="s">
        <v>105</v>
      </c>
      <c r="H9" s="5" t="s">
        <v>168</v>
      </c>
      <c r="I9" s="3" t="s">
        <v>55</v>
      </c>
      <c r="J9" s="3" t="s">
        <v>210</v>
      </c>
      <c r="K9" s="3" t="s">
        <v>40</v>
      </c>
      <c r="L9" s="3" t="s">
        <v>68</v>
      </c>
      <c r="M9" s="3" t="s">
        <v>40</v>
      </c>
      <c r="N9" s="3" t="s">
        <v>65</v>
      </c>
      <c r="O9" s="3" t="s">
        <v>228</v>
      </c>
      <c r="P9" s="3" t="s">
        <v>78</v>
      </c>
      <c r="Q9" s="3" t="s">
        <v>198</v>
      </c>
    </row>
    <row r="10" spans="1:17" ht="15.75">
      <c r="A10" s="3" t="s">
        <v>155</v>
      </c>
      <c r="B10" s="3" t="s">
        <v>147</v>
      </c>
      <c r="C10" s="3" t="s">
        <v>237</v>
      </c>
      <c r="D10" s="3" t="s">
        <v>23</v>
      </c>
      <c r="E10" s="4" t="s">
        <v>35</v>
      </c>
      <c r="F10" s="4">
        <v>41792</v>
      </c>
      <c r="G10" s="5" t="s">
        <v>108</v>
      </c>
      <c r="H10" s="5" t="s">
        <v>165</v>
      </c>
      <c r="I10" s="3" t="s">
        <v>184</v>
      </c>
      <c r="J10" s="3" t="s">
        <v>61</v>
      </c>
      <c r="K10" s="3" t="s">
        <v>140</v>
      </c>
      <c r="L10" s="3" t="s">
        <v>70</v>
      </c>
      <c r="M10" s="3" t="s">
        <v>194</v>
      </c>
      <c r="O10" s="3" t="s">
        <v>40</v>
      </c>
      <c r="P10" s="3" t="s">
        <v>78</v>
      </c>
      <c r="Q10" s="3" t="s">
        <v>222</v>
      </c>
    </row>
    <row r="11" spans="1:17" ht="15.75">
      <c r="A11" s="3" t="s">
        <v>155</v>
      </c>
      <c r="B11" s="3" t="s">
        <v>147</v>
      </c>
      <c r="C11" s="3" t="s">
        <v>237</v>
      </c>
      <c r="D11" s="3" t="s">
        <v>28</v>
      </c>
      <c r="E11" s="4" t="s">
        <v>31</v>
      </c>
      <c r="F11" s="4">
        <v>41648</v>
      </c>
      <c r="G11" s="5" t="s">
        <v>120</v>
      </c>
      <c r="H11" s="5" t="s">
        <v>166</v>
      </c>
      <c r="I11" s="3" t="s">
        <v>40</v>
      </c>
      <c r="J11" s="3" t="s">
        <v>171</v>
      </c>
      <c r="K11" s="3" t="s">
        <v>87</v>
      </c>
      <c r="L11" s="3" t="s">
        <v>73</v>
      </c>
      <c r="M11" s="3" t="s">
        <v>194</v>
      </c>
      <c r="N11" s="3" t="s">
        <v>64</v>
      </c>
      <c r="O11" s="3" t="s">
        <v>206</v>
      </c>
      <c r="P11" s="3" t="s">
        <v>79</v>
      </c>
      <c r="Q11" s="3" t="s">
        <v>40</v>
      </c>
    </row>
    <row r="12" spans="1:17" ht="15.75">
      <c r="A12" s="3" t="s">
        <v>152</v>
      </c>
      <c r="B12" s="3" t="s">
        <v>148</v>
      </c>
      <c r="C12" s="3" t="s">
        <v>241</v>
      </c>
      <c r="D12" s="3" t="s">
        <v>28</v>
      </c>
      <c r="E12" s="4" t="s">
        <v>128</v>
      </c>
      <c r="F12" s="4">
        <v>41676</v>
      </c>
      <c r="G12" s="5" t="s">
        <v>111</v>
      </c>
      <c r="H12" s="5" t="s">
        <v>163</v>
      </c>
      <c r="I12" s="3" t="s">
        <v>185</v>
      </c>
      <c r="J12" s="3" t="s">
        <v>63</v>
      </c>
      <c r="K12" s="3" t="s">
        <v>143</v>
      </c>
      <c r="L12" s="3" t="s">
        <v>208</v>
      </c>
      <c r="M12" s="3" t="s">
        <v>75</v>
      </c>
      <c r="N12" s="3" t="s">
        <v>65</v>
      </c>
      <c r="O12" s="3" t="s">
        <v>229</v>
      </c>
      <c r="P12" s="3" t="s">
        <v>78</v>
      </c>
      <c r="Q12" s="3" t="s">
        <v>195</v>
      </c>
    </row>
    <row r="13" spans="1:17" ht="15.75">
      <c r="A13" s="3" t="s">
        <v>152</v>
      </c>
      <c r="B13" s="3" t="s">
        <v>148</v>
      </c>
      <c r="C13" s="3" t="s">
        <v>189</v>
      </c>
      <c r="D13" s="3" t="s">
        <v>27</v>
      </c>
      <c r="E13" s="4" t="s">
        <v>17</v>
      </c>
      <c r="F13" s="4">
        <v>41702</v>
      </c>
      <c r="G13" s="5" t="s">
        <v>108</v>
      </c>
      <c r="H13" s="5" t="s">
        <v>170</v>
      </c>
      <c r="I13" s="3" t="s">
        <v>179</v>
      </c>
      <c r="J13" s="3" t="s">
        <v>60</v>
      </c>
      <c r="K13" s="3" t="s">
        <v>138</v>
      </c>
      <c r="L13" s="3" t="s">
        <v>69</v>
      </c>
      <c r="M13" s="3" t="s">
        <v>77</v>
      </c>
      <c r="N13" s="3" t="s">
        <v>51</v>
      </c>
      <c r="O13" s="3" t="s">
        <v>40</v>
      </c>
      <c r="P13" s="3" t="s">
        <v>79</v>
      </c>
      <c r="Q13" s="3" t="s">
        <v>216</v>
      </c>
    </row>
    <row r="14" spans="1:17" ht="15.75">
      <c r="A14" s="3" t="s">
        <v>152</v>
      </c>
      <c r="B14" s="3" t="s">
        <v>148</v>
      </c>
      <c r="C14" s="3" t="s">
        <v>189</v>
      </c>
      <c r="D14" s="3" t="s">
        <v>27</v>
      </c>
      <c r="E14" s="4" t="s">
        <v>36</v>
      </c>
      <c r="F14" s="4">
        <v>41946</v>
      </c>
      <c r="G14" s="5" t="s">
        <v>117</v>
      </c>
      <c r="H14" s="5" t="s">
        <v>167</v>
      </c>
      <c r="I14" s="3" t="s">
        <v>92</v>
      </c>
      <c r="J14" s="3" t="s">
        <v>178</v>
      </c>
      <c r="K14" s="3" t="s">
        <v>85</v>
      </c>
      <c r="L14" s="3" t="s">
        <v>130</v>
      </c>
      <c r="M14" s="3" t="s">
        <v>76</v>
      </c>
      <c r="N14" s="3" t="s">
        <v>40</v>
      </c>
      <c r="O14" s="3" t="s">
        <v>206</v>
      </c>
      <c r="P14" s="3" t="s">
        <v>78</v>
      </c>
      <c r="Q14" s="3" t="s">
        <v>223</v>
      </c>
    </row>
    <row r="15" spans="1:17" ht="15.75">
      <c r="A15" s="3" t="s">
        <v>160</v>
      </c>
      <c r="B15" s="3" t="s">
        <v>148</v>
      </c>
      <c r="C15" s="3" t="s">
        <v>238</v>
      </c>
      <c r="D15" s="3" t="s">
        <v>23</v>
      </c>
      <c r="E15" s="4" t="s">
        <v>16</v>
      </c>
      <c r="F15" s="4">
        <v>41648</v>
      </c>
      <c r="G15" s="5" t="s">
        <v>107</v>
      </c>
      <c r="H15" s="5" t="s">
        <v>166</v>
      </c>
      <c r="I15" s="3" t="s">
        <v>182</v>
      </c>
      <c r="J15" s="3" t="s">
        <v>60</v>
      </c>
      <c r="K15" s="3" t="s">
        <v>52</v>
      </c>
      <c r="L15" s="3" t="s">
        <v>136</v>
      </c>
      <c r="M15" s="3" t="s">
        <v>75</v>
      </c>
      <c r="O15" s="3" t="s">
        <v>206</v>
      </c>
      <c r="P15" s="3" t="s">
        <v>79</v>
      </c>
      <c r="Q15" s="3" t="s">
        <v>40</v>
      </c>
    </row>
    <row r="16" spans="1:17" ht="15.75">
      <c r="A16" s="3" t="s">
        <v>156</v>
      </c>
      <c r="B16" s="3" t="s">
        <v>148</v>
      </c>
      <c r="C16" s="3" t="s">
        <v>239</v>
      </c>
      <c r="D16" s="3" t="s">
        <v>27</v>
      </c>
      <c r="E16" s="4" t="s">
        <v>177</v>
      </c>
      <c r="F16" s="4">
        <v>41903</v>
      </c>
      <c r="G16" s="5" t="s">
        <v>107</v>
      </c>
      <c r="H16" s="5" t="s">
        <v>166</v>
      </c>
      <c r="I16" s="6" t="s">
        <v>96</v>
      </c>
      <c r="J16" s="3" t="s">
        <v>63</v>
      </c>
      <c r="K16" s="3" t="s">
        <v>87</v>
      </c>
      <c r="L16" s="3" t="s">
        <v>207</v>
      </c>
      <c r="M16" s="3" t="s">
        <v>193</v>
      </c>
      <c r="N16" s="3" t="s">
        <v>64</v>
      </c>
      <c r="O16" s="3" t="s">
        <v>228</v>
      </c>
      <c r="P16" s="3" t="s">
        <v>197</v>
      </c>
      <c r="Q16" s="3" t="s">
        <v>59</v>
      </c>
    </row>
    <row r="17" spans="1:17" ht="15.75">
      <c r="A17" s="3" t="s">
        <v>156</v>
      </c>
      <c r="B17" s="3" t="s">
        <v>148</v>
      </c>
      <c r="C17" s="3" t="s">
        <v>190</v>
      </c>
      <c r="D17" s="3" t="s">
        <v>24</v>
      </c>
      <c r="E17" s="4" t="s">
        <v>34</v>
      </c>
      <c r="F17" s="4">
        <v>41934</v>
      </c>
      <c r="G17" s="5" t="s">
        <v>104</v>
      </c>
      <c r="H17" s="5" t="s">
        <v>168</v>
      </c>
      <c r="I17" s="3" t="s">
        <v>92</v>
      </c>
      <c r="J17" s="3" t="s">
        <v>226</v>
      </c>
      <c r="K17" s="3" t="s">
        <v>40</v>
      </c>
      <c r="L17" s="3" t="s">
        <v>67</v>
      </c>
      <c r="M17" s="3" t="s">
        <v>193</v>
      </c>
      <c r="N17" s="3" t="s">
        <v>145</v>
      </c>
      <c r="O17" s="3" t="s">
        <v>229</v>
      </c>
      <c r="P17" s="3" t="s">
        <v>40</v>
      </c>
      <c r="Q17" s="3" t="s">
        <v>59</v>
      </c>
    </row>
    <row r="18" spans="1:17" ht="15.75">
      <c r="A18" s="3" t="s">
        <v>156</v>
      </c>
      <c r="B18" s="3" t="s">
        <v>148</v>
      </c>
      <c r="C18" s="3" t="s">
        <v>190</v>
      </c>
      <c r="D18" s="3" t="s">
        <v>24</v>
      </c>
      <c r="E18" s="4" t="s">
        <v>17</v>
      </c>
      <c r="F18" s="4">
        <v>41676</v>
      </c>
      <c r="G18" s="5" t="s">
        <v>123</v>
      </c>
      <c r="H18" s="5" t="s">
        <v>163</v>
      </c>
      <c r="I18" s="3" t="s">
        <v>98</v>
      </c>
      <c r="J18" s="3" t="s">
        <v>226</v>
      </c>
      <c r="K18" s="3" t="s">
        <v>85</v>
      </c>
      <c r="L18" s="3" t="s">
        <v>54</v>
      </c>
      <c r="M18" s="3" t="s">
        <v>193</v>
      </c>
      <c r="N18" s="3" t="s">
        <v>51</v>
      </c>
      <c r="O18" s="3" t="s">
        <v>229</v>
      </c>
      <c r="P18" s="3" t="s">
        <v>197</v>
      </c>
      <c r="Q18" s="3" t="s">
        <v>223</v>
      </c>
    </row>
    <row r="19" spans="1:17" ht="15.75">
      <c r="A19" s="3" t="s">
        <v>156</v>
      </c>
      <c r="B19" s="3" t="s">
        <v>148</v>
      </c>
      <c r="C19" s="3" t="s">
        <v>239</v>
      </c>
      <c r="D19" s="3" t="s">
        <v>27</v>
      </c>
      <c r="E19" s="4" t="s">
        <v>34</v>
      </c>
      <c r="F19" s="4">
        <v>41702</v>
      </c>
      <c r="G19" s="5" t="s">
        <v>127</v>
      </c>
      <c r="H19" s="5" t="s">
        <v>170</v>
      </c>
      <c r="I19" s="3" t="s">
        <v>97</v>
      </c>
      <c r="J19" s="3" t="s">
        <v>171</v>
      </c>
      <c r="K19" s="3" t="s">
        <v>137</v>
      </c>
      <c r="L19" s="3" t="s">
        <v>52</v>
      </c>
      <c r="M19" s="3" t="s">
        <v>194</v>
      </c>
      <c r="O19" s="3" t="s">
        <v>40</v>
      </c>
      <c r="P19" s="3" t="s">
        <v>78</v>
      </c>
      <c r="Q19" s="3" t="s">
        <v>59</v>
      </c>
    </row>
    <row r="20" spans="1:17" ht="15.75">
      <c r="A20" s="3" t="s">
        <v>157</v>
      </c>
      <c r="B20" s="3" t="s">
        <v>147</v>
      </c>
      <c r="C20" s="3" t="s">
        <v>236</v>
      </c>
      <c r="D20" s="3" t="s">
        <v>29</v>
      </c>
      <c r="E20" s="4" t="s">
        <v>31</v>
      </c>
      <c r="F20" s="4">
        <v>41946</v>
      </c>
      <c r="G20" s="5" t="s">
        <v>114</v>
      </c>
      <c r="H20" s="5" t="s">
        <v>167</v>
      </c>
      <c r="I20" s="3" t="s">
        <v>97</v>
      </c>
      <c r="J20" s="3" t="s">
        <v>103</v>
      </c>
      <c r="K20" s="3" t="s">
        <v>137</v>
      </c>
      <c r="L20" s="3" t="s">
        <v>40</v>
      </c>
      <c r="M20" s="3" t="s">
        <v>194</v>
      </c>
      <c r="N20" s="3" t="s">
        <v>234</v>
      </c>
      <c r="O20" s="3" t="s">
        <v>206</v>
      </c>
      <c r="P20" s="3" t="s">
        <v>79</v>
      </c>
      <c r="Q20" s="3" t="s">
        <v>223</v>
      </c>
    </row>
    <row r="21" spans="1:17" ht="15.75">
      <c r="A21" s="3" t="s">
        <v>157</v>
      </c>
      <c r="B21" s="3" t="s">
        <v>147</v>
      </c>
      <c r="C21" s="3" t="s">
        <v>236</v>
      </c>
      <c r="D21" s="3" t="s">
        <v>29</v>
      </c>
      <c r="E21" s="4" t="s">
        <v>32</v>
      </c>
      <c r="F21" s="4">
        <v>41684</v>
      </c>
      <c r="G21" s="5" t="s">
        <v>109</v>
      </c>
      <c r="H21" s="5" t="s">
        <v>170</v>
      </c>
      <c r="I21" s="3" t="s">
        <v>101</v>
      </c>
      <c r="J21" s="3" t="s">
        <v>174</v>
      </c>
      <c r="K21" s="3" t="s">
        <v>87</v>
      </c>
      <c r="L21" s="3" t="s">
        <v>54</v>
      </c>
      <c r="M21" s="3" t="s">
        <v>76</v>
      </c>
      <c r="N21" s="3" t="s">
        <v>64</v>
      </c>
      <c r="O21" s="3" t="s">
        <v>228</v>
      </c>
      <c r="P21" s="3" t="s">
        <v>79</v>
      </c>
      <c r="Q21" s="3" t="s">
        <v>80</v>
      </c>
    </row>
    <row r="22" spans="1:17" ht="15.75">
      <c r="A22" s="3" t="s">
        <v>157</v>
      </c>
      <c r="B22" s="3" t="s">
        <v>147</v>
      </c>
      <c r="C22" s="3" t="s">
        <v>188</v>
      </c>
      <c r="D22" s="3" t="s">
        <v>22</v>
      </c>
      <c r="E22" s="4" t="s">
        <v>15</v>
      </c>
      <c r="F22" s="4">
        <v>41657</v>
      </c>
      <c r="G22" s="5" t="s">
        <v>114</v>
      </c>
      <c r="H22" s="5" t="s">
        <v>170</v>
      </c>
      <c r="I22" s="3" t="s">
        <v>97</v>
      </c>
      <c r="J22" s="3" t="s">
        <v>173</v>
      </c>
      <c r="K22" s="3" t="s">
        <v>143</v>
      </c>
      <c r="L22" s="3" t="s">
        <v>70</v>
      </c>
      <c r="M22" s="3" t="s">
        <v>75</v>
      </c>
      <c r="N22" s="3" t="s">
        <v>64</v>
      </c>
      <c r="O22" s="3" t="s">
        <v>228</v>
      </c>
      <c r="P22" s="3" t="s">
        <v>79</v>
      </c>
      <c r="Q22" s="3" t="s">
        <v>40</v>
      </c>
    </row>
    <row r="23" spans="1:17" ht="15.75">
      <c r="A23" s="3" t="s">
        <v>157</v>
      </c>
      <c r="B23" s="3" t="s">
        <v>147</v>
      </c>
      <c r="C23" s="3" t="s">
        <v>188</v>
      </c>
      <c r="D23" s="3" t="s">
        <v>24</v>
      </c>
      <c r="E23" s="4" t="s">
        <v>30</v>
      </c>
      <c r="F23" s="4">
        <v>41684</v>
      </c>
      <c r="G23" s="5" t="s">
        <v>122</v>
      </c>
      <c r="H23" s="5" t="s">
        <v>170</v>
      </c>
      <c r="I23" s="3" t="s">
        <v>96</v>
      </c>
      <c r="J23" s="3" t="s">
        <v>172</v>
      </c>
      <c r="K23" s="3" t="s">
        <v>143</v>
      </c>
      <c r="L23" s="3" t="s">
        <v>68</v>
      </c>
      <c r="M23" s="3" t="s">
        <v>193</v>
      </c>
      <c r="N23" s="3" t="s">
        <v>145</v>
      </c>
      <c r="O23" s="3" t="s">
        <v>228</v>
      </c>
      <c r="P23" s="3" t="s">
        <v>197</v>
      </c>
      <c r="Q23" s="3" t="s">
        <v>216</v>
      </c>
    </row>
    <row r="24" spans="1:17" ht="15.75">
      <c r="A24" s="3" t="s">
        <v>161</v>
      </c>
      <c r="B24" s="3" t="s">
        <v>148</v>
      </c>
      <c r="C24" s="3" t="s">
        <v>240</v>
      </c>
      <c r="D24" s="3" t="s">
        <v>28</v>
      </c>
      <c r="E24" s="4" t="s">
        <v>35</v>
      </c>
      <c r="F24" s="4">
        <v>41648</v>
      </c>
      <c r="G24" s="5" t="s">
        <v>111</v>
      </c>
      <c r="H24" s="5" t="s">
        <v>169</v>
      </c>
      <c r="I24" s="3" t="s">
        <v>93</v>
      </c>
      <c r="J24" s="3" t="s">
        <v>172</v>
      </c>
      <c r="K24" s="3" t="s">
        <v>85</v>
      </c>
      <c r="L24" s="3" t="s">
        <v>68</v>
      </c>
      <c r="M24" s="3" t="s">
        <v>194</v>
      </c>
      <c r="N24" s="3" t="s">
        <v>40</v>
      </c>
      <c r="O24" s="3" t="s">
        <v>51</v>
      </c>
      <c r="P24" s="3" t="s">
        <v>79</v>
      </c>
      <c r="Q24" s="3" t="s">
        <v>223</v>
      </c>
    </row>
    <row r="25" spans="1:17" ht="15.75">
      <c r="A25" s="3" t="s">
        <v>161</v>
      </c>
      <c r="B25" s="3" t="s">
        <v>148</v>
      </c>
      <c r="C25" s="3" t="s">
        <v>240</v>
      </c>
      <c r="D25" s="3" t="s">
        <v>28</v>
      </c>
      <c r="E25" s="4" t="s">
        <v>36</v>
      </c>
      <c r="F25" s="4">
        <v>41702</v>
      </c>
      <c r="G25" s="5" t="s">
        <v>112</v>
      </c>
      <c r="H25" s="5" t="s">
        <v>166</v>
      </c>
      <c r="I25" s="3" t="s">
        <v>94</v>
      </c>
      <c r="J25" s="3" t="s">
        <v>172</v>
      </c>
      <c r="K25" s="3" t="s">
        <v>52</v>
      </c>
      <c r="L25" s="3" t="s">
        <v>176</v>
      </c>
      <c r="M25" s="3" t="s">
        <v>40</v>
      </c>
      <c r="N25" s="3" t="s">
        <v>230</v>
      </c>
      <c r="O25" s="3" t="s">
        <v>206</v>
      </c>
      <c r="P25" s="3" t="s">
        <v>78</v>
      </c>
      <c r="Q25" s="3" t="s">
        <v>198</v>
      </c>
    </row>
    <row r="26" spans="1:17" ht="15.75">
      <c r="A26" s="3" t="s">
        <v>161</v>
      </c>
      <c r="B26" s="3" t="s">
        <v>148</v>
      </c>
      <c r="C26" s="3" t="s">
        <v>187</v>
      </c>
      <c r="D26" s="3" t="s">
        <v>28</v>
      </c>
      <c r="E26" s="4" t="s">
        <v>32</v>
      </c>
      <c r="F26" s="4">
        <v>41657</v>
      </c>
      <c r="G26" s="5" t="s">
        <v>125</v>
      </c>
      <c r="H26" s="5" t="s">
        <v>164</v>
      </c>
      <c r="I26" s="3" t="s">
        <v>99</v>
      </c>
      <c r="J26" s="3" t="s">
        <v>211</v>
      </c>
      <c r="K26" s="3" t="s">
        <v>140</v>
      </c>
      <c r="L26" s="3" t="s">
        <v>71</v>
      </c>
      <c r="M26" s="3" t="s">
        <v>194</v>
      </c>
      <c r="N26" s="3" t="s">
        <v>51</v>
      </c>
      <c r="O26" s="3" t="s">
        <v>51</v>
      </c>
      <c r="P26" s="3" t="s">
        <v>79</v>
      </c>
      <c r="Q26" s="3" t="s">
        <v>216</v>
      </c>
    </row>
    <row r="27" spans="1:17" ht="15.75">
      <c r="A27" s="3" t="s">
        <v>161</v>
      </c>
      <c r="B27" s="3" t="s">
        <v>148</v>
      </c>
      <c r="C27" s="3" t="s">
        <v>187</v>
      </c>
      <c r="D27" s="3" t="s">
        <v>28</v>
      </c>
      <c r="E27" s="4" t="s">
        <v>33</v>
      </c>
      <c r="F27" s="4">
        <v>41895</v>
      </c>
      <c r="G27" s="5" t="s">
        <v>124</v>
      </c>
      <c r="H27" s="5" t="s">
        <v>165</v>
      </c>
      <c r="I27" s="3" t="s">
        <v>57</v>
      </c>
      <c r="J27" s="3" t="s">
        <v>172</v>
      </c>
      <c r="K27" s="3" t="s">
        <v>87</v>
      </c>
      <c r="L27" s="3" t="s">
        <v>72</v>
      </c>
      <c r="M27" s="3" t="s">
        <v>193</v>
      </c>
      <c r="N27" s="3" t="s">
        <v>64</v>
      </c>
      <c r="O27" s="3" t="s">
        <v>206</v>
      </c>
      <c r="P27" s="3" t="s">
        <v>40</v>
      </c>
      <c r="Q27" s="3" t="s">
        <v>80</v>
      </c>
    </row>
    <row r="28" spans="1:17" ht="15.75">
      <c r="A28" s="3" t="s">
        <v>153</v>
      </c>
      <c r="B28" s="3" t="s">
        <v>147</v>
      </c>
      <c r="C28" s="3" t="s">
        <v>236</v>
      </c>
      <c r="D28" s="3" t="s">
        <v>21</v>
      </c>
      <c r="E28" s="4" t="s">
        <v>129</v>
      </c>
      <c r="F28" s="4">
        <v>41657</v>
      </c>
      <c r="G28" s="5" t="s">
        <v>127</v>
      </c>
      <c r="H28" s="5" t="s">
        <v>164</v>
      </c>
      <c r="I28" s="3" t="s">
        <v>184</v>
      </c>
      <c r="J28" s="3" t="s">
        <v>62</v>
      </c>
      <c r="K28" s="3" t="s">
        <v>86</v>
      </c>
      <c r="L28" s="3" t="s">
        <v>67</v>
      </c>
      <c r="M28" s="3" t="s">
        <v>77</v>
      </c>
      <c r="N28" s="3" t="s">
        <v>234</v>
      </c>
      <c r="O28" s="3" t="s">
        <v>51</v>
      </c>
      <c r="P28" s="3" t="s">
        <v>197</v>
      </c>
      <c r="Q28" s="3" t="s">
        <v>216</v>
      </c>
    </row>
    <row r="29" spans="1:17" ht="15.75">
      <c r="A29" s="3" t="s">
        <v>153</v>
      </c>
      <c r="B29" s="3" t="s">
        <v>147</v>
      </c>
      <c r="C29" s="3" t="s">
        <v>236</v>
      </c>
      <c r="D29" s="3" t="s">
        <v>27</v>
      </c>
      <c r="E29" s="4" t="s">
        <v>33</v>
      </c>
      <c r="F29" s="4">
        <v>41988</v>
      </c>
      <c r="G29" s="5" t="s">
        <v>110</v>
      </c>
      <c r="H29" s="5" t="s">
        <v>167</v>
      </c>
      <c r="I29" s="3" t="s">
        <v>100</v>
      </c>
      <c r="J29" s="3" t="s">
        <v>173</v>
      </c>
      <c r="K29" s="3" t="s">
        <v>137</v>
      </c>
      <c r="L29" s="3" t="s">
        <v>66</v>
      </c>
      <c r="M29" s="3" t="s">
        <v>194</v>
      </c>
      <c r="N29" s="3" t="s">
        <v>230</v>
      </c>
      <c r="O29" s="3" t="s">
        <v>206</v>
      </c>
      <c r="P29" s="3" t="s">
        <v>78</v>
      </c>
      <c r="Q29" s="3" t="s">
        <v>222</v>
      </c>
    </row>
    <row r="30" spans="1:17" ht="15.75">
      <c r="A30" s="3" t="s">
        <v>153</v>
      </c>
      <c r="B30" s="3" t="s">
        <v>147</v>
      </c>
      <c r="C30" s="3" t="s">
        <v>236</v>
      </c>
      <c r="D30" s="3" t="s">
        <v>27</v>
      </c>
      <c r="E30" s="4" t="s">
        <v>31</v>
      </c>
      <c r="F30" s="4">
        <v>41798</v>
      </c>
      <c r="G30" s="5" t="s">
        <v>116</v>
      </c>
      <c r="H30" s="5" t="s">
        <v>162</v>
      </c>
      <c r="I30" s="3" t="s">
        <v>55</v>
      </c>
      <c r="J30" s="3" t="s">
        <v>178</v>
      </c>
      <c r="K30" s="3" t="s">
        <v>86</v>
      </c>
      <c r="L30" s="3" t="s">
        <v>208</v>
      </c>
      <c r="M30" s="3" t="s">
        <v>77</v>
      </c>
      <c r="N30" s="3" t="s">
        <v>234</v>
      </c>
      <c r="O30" s="3" t="s">
        <v>206</v>
      </c>
      <c r="P30" s="3" t="s">
        <v>78</v>
      </c>
      <c r="Q30" s="3" t="s">
        <v>198</v>
      </c>
    </row>
    <row r="31" spans="1:17" ht="15.75">
      <c r="A31" s="3" t="s">
        <v>153</v>
      </c>
      <c r="B31" s="3" t="s">
        <v>147</v>
      </c>
      <c r="C31" s="3" t="s">
        <v>189</v>
      </c>
      <c r="D31" s="3" t="s">
        <v>24</v>
      </c>
      <c r="E31" s="4" t="s">
        <v>37</v>
      </c>
      <c r="F31" s="4">
        <v>41988</v>
      </c>
      <c r="G31" s="5" t="s">
        <v>118</v>
      </c>
      <c r="H31" s="5" t="s">
        <v>168</v>
      </c>
      <c r="I31" s="3" t="s">
        <v>93</v>
      </c>
      <c r="J31" s="3" t="s">
        <v>175</v>
      </c>
      <c r="K31" s="3" t="s">
        <v>52</v>
      </c>
      <c r="L31" s="3" t="s">
        <v>39</v>
      </c>
      <c r="M31" s="3" t="s">
        <v>75</v>
      </c>
      <c r="N31" s="3" t="s">
        <v>51</v>
      </c>
      <c r="O31" s="3" t="s">
        <v>229</v>
      </c>
      <c r="P31" s="3" t="s">
        <v>40</v>
      </c>
      <c r="Q31" s="3" t="s">
        <v>198</v>
      </c>
    </row>
    <row r="32" ht="15.75">
      <c r="F32" s="4"/>
    </row>
    <row r="33" ht="15.75">
      <c r="F33" s="4"/>
    </row>
    <row r="34" ht="15.75">
      <c r="F34" s="4"/>
    </row>
    <row r="35" ht="15.75">
      <c r="F35" s="4"/>
    </row>
    <row r="36" ht="15.75">
      <c r="F36" s="4"/>
    </row>
    <row r="37" ht="15.75">
      <c r="F37" s="4"/>
    </row>
  </sheetData>
  <sheetProtection/>
  <dataValidations count="14">
    <dataValidation type="list" allowBlank="1" showInputMessage="1" showErrorMessage="1" sqref="N1:N65536">
      <formula1>Others</formula1>
    </dataValidation>
    <dataValidation type="list" allowBlank="1" showInputMessage="1" showErrorMessage="1" sqref="J2:J18 J19 J20:J65536">
      <formula1>Incident</formula1>
    </dataValidation>
    <dataValidation type="list" allowBlank="1" showInputMessage="1" showErrorMessage="1" sqref="L2:L65536">
      <formula1>Antecedent</formula1>
    </dataValidation>
    <dataValidation type="list" allowBlank="1" showInputMessage="1" showErrorMessage="1" sqref="D2:D65536">
      <formula1>Days</formula1>
    </dataValidation>
    <dataValidation type="list" allowBlank="1" showInputMessage="1" showErrorMessage="1" sqref="E2:E65536">
      <formula1>Months</formula1>
    </dataValidation>
    <dataValidation type="list" allowBlank="1" showInputMessage="1" showErrorMessage="1" sqref="G2:G65536">
      <formula1>Time</formula1>
    </dataValidation>
    <dataValidation type="list" allowBlank="1" showInputMessage="1" showErrorMessage="1" sqref="C2:C65536">
      <formula1>Program</formula1>
    </dataValidation>
    <dataValidation type="list" allowBlank="1" showInputMessage="1" showErrorMessage="1" sqref="I2:I65536">
      <formula1>Location</formula1>
    </dataValidation>
    <dataValidation type="list" allowBlank="1" showInputMessage="1" showErrorMessage="1" sqref="B2:B65536">
      <formula1>Gender</formula1>
    </dataValidation>
    <dataValidation type="list" allowBlank="1" showInputMessage="1" showErrorMessage="1" sqref="K2:K65536">
      <formula1>Motivation</formula1>
    </dataValidation>
    <dataValidation type="list" allowBlank="1" showInputMessage="1" showErrorMessage="1" sqref="O2:O65536">
      <formula1>Injury</formula1>
    </dataValidation>
    <dataValidation type="list" allowBlank="1" showInputMessage="1" showErrorMessage="1" sqref="M2:M65536">
      <formula1>Proactive</formula1>
    </dataValidation>
    <dataValidation type="list" allowBlank="1" showInputMessage="1" showErrorMessage="1" sqref="P2:P65536">
      <formula1>Action</formula1>
    </dataValidation>
    <dataValidation type="list" allowBlank="1" showInputMessage="1" showErrorMessage="1" sqref="Q1:Q65536">
      <formula1>EA</formula1>
    </dataValidation>
  </dataValidations>
  <printOptions/>
  <pageMargins left="0.75" right="0.75" top="1" bottom="1" header="0.5" footer="0.5"/>
  <pageSetup horizontalDpi="300" verticalDpi="300" orientation="landscape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A1"/>
  <sheetViews>
    <sheetView zoomScalePageLayoutView="0" workbookViewId="0" topLeftCell="A1">
      <selection activeCell="O45" sqref="O4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A1"/>
  <sheetViews>
    <sheetView zoomScalePageLayoutView="0" workbookViewId="0" topLeftCell="A1">
      <selection activeCell="W21" sqref="W2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Z50"/>
  <sheetViews>
    <sheetView zoomScale="91" zoomScaleNormal="91" zoomScalePageLayoutView="0" workbookViewId="0" topLeftCell="A1">
      <selection activeCell="I11" sqref="I3:I11"/>
    </sheetView>
  </sheetViews>
  <sheetFormatPr defaultColWidth="8.8515625" defaultRowHeight="12.75"/>
  <cols>
    <col min="1" max="1" width="29.28125" style="17" customWidth="1"/>
    <col min="2" max="2" width="4.28125" style="17" customWidth="1"/>
    <col min="3" max="3" width="25.28125" style="17" customWidth="1"/>
    <col min="4" max="4" width="3.8515625" style="17" customWidth="1"/>
    <col min="5" max="5" width="19.00390625" style="17" customWidth="1"/>
    <col min="6" max="6" width="5.00390625" style="17" customWidth="1"/>
    <col min="7" max="7" width="10.8515625" style="17" customWidth="1"/>
    <col min="8" max="8" width="4.421875" style="0" customWidth="1"/>
    <col min="9" max="9" width="19.421875" style="0" customWidth="1"/>
    <col min="10" max="10" width="2.7109375" style="0" customWidth="1"/>
    <col min="11" max="11" width="26.421875" style="0" customWidth="1"/>
    <col min="12" max="12" width="3.8515625" style="0" customWidth="1"/>
    <col min="13" max="13" width="20.00390625" style="0" customWidth="1"/>
    <col min="14" max="14" width="2.421875" style="0" customWidth="1"/>
    <col min="15" max="15" width="11.00390625" style="0" customWidth="1"/>
    <col min="16" max="16" width="3.8515625" style="0" customWidth="1"/>
    <col min="17" max="17" width="22.421875" style="0" customWidth="1"/>
    <col min="18" max="18" width="2.28125" style="0" customWidth="1"/>
    <col min="19" max="19" width="22.28125" style="37" customWidth="1"/>
    <col min="20" max="20" width="3.140625" style="37" customWidth="1"/>
    <col min="21" max="21" width="14.7109375" style="37" customWidth="1"/>
  </cols>
  <sheetData>
    <row r="1" ht="13.5" thickBot="1"/>
    <row r="2" spans="1:19" ht="13.5" thickBot="1">
      <c r="A2" s="51" t="s">
        <v>150</v>
      </c>
      <c r="B2" s="18"/>
      <c r="C2" s="33" t="s">
        <v>53</v>
      </c>
      <c r="D2" s="18"/>
      <c r="E2" s="33" t="s">
        <v>25</v>
      </c>
      <c r="F2" s="18"/>
      <c r="G2" s="33" t="s">
        <v>26</v>
      </c>
      <c r="H2" s="2"/>
      <c r="I2" s="33" t="s">
        <v>84</v>
      </c>
      <c r="J2" s="2"/>
      <c r="K2" s="76" t="s">
        <v>220</v>
      </c>
      <c r="L2" s="19"/>
      <c r="M2" s="31" t="s">
        <v>2</v>
      </c>
      <c r="S2" s="38"/>
    </row>
    <row r="3" spans="1:15" ht="25.5" customHeight="1" thickBot="1">
      <c r="A3" s="68" t="s">
        <v>173</v>
      </c>
      <c r="C3" s="68" t="s">
        <v>66</v>
      </c>
      <c r="E3" s="69" t="s">
        <v>27</v>
      </c>
      <c r="G3" s="69" t="s">
        <v>177</v>
      </c>
      <c r="I3" s="63" t="s">
        <v>235</v>
      </c>
      <c r="K3" s="79" t="s">
        <v>78</v>
      </c>
      <c r="M3" s="29" t="s">
        <v>105</v>
      </c>
      <c r="O3" s="32" t="s">
        <v>6</v>
      </c>
    </row>
    <row r="4" spans="1:15" ht="15" customHeight="1">
      <c r="A4" s="64" t="s">
        <v>171</v>
      </c>
      <c r="C4" s="64" t="s">
        <v>67</v>
      </c>
      <c r="E4" s="69" t="s">
        <v>24</v>
      </c>
      <c r="G4" s="69" t="s">
        <v>30</v>
      </c>
      <c r="I4" s="66" t="s">
        <v>242</v>
      </c>
      <c r="K4" s="80" t="s">
        <v>79</v>
      </c>
      <c r="M4" s="27" t="s">
        <v>106</v>
      </c>
      <c r="O4" s="95" t="s">
        <v>51</v>
      </c>
    </row>
    <row r="5" spans="1:15" ht="15" customHeight="1">
      <c r="A5" s="66" t="s">
        <v>172</v>
      </c>
      <c r="C5" s="64" t="s">
        <v>68</v>
      </c>
      <c r="E5" s="69" t="s">
        <v>28</v>
      </c>
      <c r="G5" s="69" t="s">
        <v>31</v>
      </c>
      <c r="I5" s="66" t="s">
        <v>236</v>
      </c>
      <c r="K5" s="88" t="s">
        <v>197</v>
      </c>
      <c r="M5" s="27" t="s">
        <v>107</v>
      </c>
      <c r="O5" s="82" t="s">
        <v>145</v>
      </c>
    </row>
    <row r="6" spans="1:15" ht="14.25" customHeight="1" thickBot="1">
      <c r="A6" s="64" t="s">
        <v>174</v>
      </c>
      <c r="C6" s="64" t="s">
        <v>69</v>
      </c>
      <c r="E6" s="69" t="s">
        <v>21</v>
      </c>
      <c r="G6" s="69" t="s">
        <v>15</v>
      </c>
      <c r="I6" s="66" t="s">
        <v>237</v>
      </c>
      <c r="K6" s="92" t="s">
        <v>40</v>
      </c>
      <c r="M6" s="27" t="s">
        <v>108</v>
      </c>
      <c r="O6" s="64" t="s">
        <v>64</v>
      </c>
    </row>
    <row r="7" spans="1:15" ht="15" customHeight="1">
      <c r="A7" s="82" t="s">
        <v>178</v>
      </c>
      <c r="C7" s="64" t="s">
        <v>72</v>
      </c>
      <c r="E7" s="69" t="s">
        <v>22</v>
      </c>
      <c r="G7" s="69" t="s">
        <v>16</v>
      </c>
      <c r="I7" s="66" t="s">
        <v>238</v>
      </c>
      <c r="M7" s="27" t="s">
        <v>109</v>
      </c>
      <c r="O7" s="64" t="s">
        <v>230</v>
      </c>
    </row>
    <row r="8" spans="1:23" ht="15.75">
      <c r="A8" s="66" t="s">
        <v>60</v>
      </c>
      <c r="C8" s="64" t="s">
        <v>70</v>
      </c>
      <c r="E8" s="70" t="s">
        <v>23</v>
      </c>
      <c r="G8" s="69" t="s">
        <v>17</v>
      </c>
      <c r="I8" s="66" t="s">
        <v>243</v>
      </c>
      <c r="M8" s="27" t="s">
        <v>110</v>
      </c>
      <c r="O8" s="82" t="s">
        <v>234</v>
      </c>
      <c r="Q8" s="36"/>
      <c r="R8" s="36"/>
      <c r="V8" s="36"/>
      <c r="W8" s="36"/>
    </row>
    <row r="9" spans="1:23" ht="16.5" thickBot="1">
      <c r="A9" s="82" t="s">
        <v>211</v>
      </c>
      <c r="C9" s="82" t="s">
        <v>208</v>
      </c>
      <c r="E9" s="71" t="s">
        <v>29</v>
      </c>
      <c r="G9" s="69" t="s">
        <v>32</v>
      </c>
      <c r="I9" s="66" t="s">
        <v>239</v>
      </c>
      <c r="M9" s="27" t="s">
        <v>104</v>
      </c>
      <c r="O9" s="65" t="s">
        <v>40</v>
      </c>
      <c r="Q9" s="36"/>
      <c r="R9" s="36"/>
      <c r="V9" s="36"/>
      <c r="W9" s="36"/>
    </row>
    <row r="10" spans="1:23" ht="16.5" thickBot="1">
      <c r="A10" s="82" t="s">
        <v>103</v>
      </c>
      <c r="C10" s="82" t="s">
        <v>207</v>
      </c>
      <c r="E10" s="21"/>
      <c r="G10" s="69" t="s">
        <v>33</v>
      </c>
      <c r="I10" s="66" t="s">
        <v>240</v>
      </c>
      <c r="K10" s="90" t="s">
        <v>221</v>
      </c>
      <c r="M10" s="27" t="s">
        <v>111</v>
      </c>
      <c r="Q10" s="36"/>
      <c r="R10" s="36"/>
      <c r="V10" s="36"/>
      <c r="W10" s="36"/>
    </row>
    <row r="11" spans="1:23" ht="16.5" thickBot="1">
      <c r="A11" s="64" t="s">
        <v>175</v>
      </c>
      <c r="C11" s="64" t="s">
        <v>136</v>
      </c>
      <c r="E11" s="32" t="s">
        <v>0</v>
      </c>
      <c r="F11" s="21"/>
      <c r="G11" s="69" t="s">
        <v>34</v>
      </c>
      <c r="I11" s="66" t="s">
        <v>241</v>
      </c>
      <c r="K11" s="91" t="s">
        <v>216</v>
      </c>
      <c r="M11" s="27" t="s">
        <v>112</v>
      </c>
      <c r="Q11" s="36"/>
      <c r="R11" s="36"/>
      <c r="V11" s="36"/>
      <c r="W11" s="36"/>
    </row>
    <row r="12" spans="1:23" ht="16.5" thickBot="1">
      <c r="A12" s="82" t="s">
        <v>226</v>
      </c>
      <c r="C12" s="64" t="s">
        <v>176</v>
      </c>
      <c r="E12" s="63" t="s">
        <v>184</v>
      </c>
      <c r="F12" s="21"/>
      <c r="G12" s="69" t="s">
        <v>35</v>
      </c>
      <c r="I12" s="66" t="s">
        <v>187</v>
      </c>
      <c r="K12" s="88" t="s">
        <v>80</v>
      </c>
      <c r="M12" s="27" t="s">
        <v>113</v>
      </c>
      <c r="O12" s="48" t="s">
        <v>146</v>
      </c>
      <c r="Q12" s="36"/>
      <c r="R12" s="36"/>
      <c r="V12" s="36"/>
      <c r="W12" s="36"/>
    </row>
    <row r="13" spans="1:23" ht="15.75">
      <c r="A13" s="64" t="s">
        <v>61</v>
      </c>
      <c r="C13" s="64" t="s">
        <v>130</v>
      </c>
      <c r="E13" s="66" t="s">
        <v>185</v>
      </c>
      <c r="F13" s="21"/>
      <c r="G13" s="69" t="s">
        <v>36</v>
      </c>
      <c r="I13" s="66" t="s">
        <v>188</v>
      </c>
      <c r="K13" s="82" t="s">
        <v>222</v>
      </c>
      <c r="M13" s="27" t="s">
        <v>114</v>
      </c>
      <c r="O13" s="45" t="s">
        <v>147</v>
      </c>
      <c r="Q13" s="36"/>
      <c r="R13" s="36"/>
      <c r="V13" s="36"/>
      <c r="W13" s="36"/>
    </row>
    <row r="14" spans="1:23" ht="16.5" thickBot="1">
      <c r="A14" s="82" t="s">
        <v>210</v>
      </c>
      <c r="C14" s="64" t="s">
        <v>39</v>
      </c>
      <c r="E14" s="66" t="s">
        <v>186</v>
      </c>
      <c r="F14" s="21"/>
      <c r="G14" s="72" t="s">
        <v>37</v>
      </c>
      <c r="I14" s="66" t="s">
        <v>190</v>
      </c>
      <c r="K14" s="82" t="s">
        <v>223</v>
      </c>
      <c r="M14" s="27" t="s">
        <v>115</v>
      </c>
      <c r="O14" s="46" t="s">
        <v>148</v>
      </c>
      <c r="Q14" s="75"/>
      <c r="R14" s="36"/>
      <c r="V14" s="36"/>
      <c r="W14" s="36"/>
    </row>
    <row r="15" spans="1:23" ht="15.75">
      <c r="A15" s="64" t="s">
        <v>63</v>
      </c>
      <c r="C15" s="82" t="s">
        <v>219</v>
      </c>
      <c r="E15" s="66" t="s">
        <v>96</v>
      </c>
      <c r="F15" s="21"/>
      <c r="I15" s="64" t="s">
        <v>189</v>
      </c>
      <c r="K15" s="82" t="s">
        <v>59</v>
      </c>
      <c r="M15" s="27" t="s">
        <v>116</v>
      </c>
      <c r="Q15" s="75"/>
      <c r="R15" s="36"/>
      <c r="U15" s="78"/>
      <c r="V15" s="36"/>
      <c r="W15" s="36"/>
    </row>
    <row r="16" spans="1:23" ht="16.5" thickBot="1">
      <c r="A16" s="65" t="s">
        <v>40</v>
      </c>
      <c r="C16" s="64" t="s">
        <v>73</v>
      </c>
      <c r="E16" s="66" t="s">
        <v>97</v>
      </c>
      <c r="F16" s="21"/>
      <c r="I16" s="65" t="s">
        <v>40</v>
      </c>
      <c r="K16" s="88" t="s">
        <v>198</v>
      </c>
      <c r="M16" s="27" t="s">
        <v>117</v>
      </c>
      <c r="Q16" s="75"/>
      <c r="R16" s="36"/>
      <c r="U16" s="78"/>
      <c r="V16" s="36"/>
      <c r="W16" s="36"/>
    </row>
    <row r="17" spans="3:23" ht="16.5" thickBot="1">
      <c r="C17" s="82" t="s">
        <v>218</v>
      </c>
      <c r="E17" s="66" t="s">
        <v>55</v>
      </c>
      <c r="F17" s="21"/>
      <c r="G17" s="74" t="s">
        <v>183</v>
      </c>
      <c r="I17" s="75"/>
      <c r="K17" s="88" t="s">
        <v>195</v>
      </c>
      <c r="M17" s="27" t="s">
        <v>118</v>
      </c>
      <c r="Q17" s="75"/>
      <c r="R17" s="36"/>
      <c r="U17" s="78"/>
      <c r="V17" s="36"/>
      <c r="W17" s="36"/>
    </row>
    <row r="18" spans="3:23" ht="16.5" thickBot="1">
      <c r="C18" s="64" t="s">
        <v>52</v>
      </c>
      <c r="E18" s="64" t="s">
        <v>98</v>
      </c>
      <c r="F18" s="21"/>
      <c r="G18" s="93" t="s">
        <v>206</v>
      </c>
      <c r="I18" s="36"/>
      <c r="K18" s="92" t="s">
        <v>40</v>
      </c>
      <c r="M18" s="27" t="s">
        <v>119</v>
      </c>
      <c r="Q18" s="81"/>
      <c r="R18" s="36"/>
      <c r="S18" s="78"/>
      <c r="U18" s="87"/>
      <c r="V18" s="36"/>
      <c r="W18" s="36"/>
    </row>
    <row r="19" spans="1:23" ht="16.5" thickBot="1">
      <c r="A19" s="76" t="s">
        <v>192</v>
      </c>
      <c r="C19" s="65" t="s">
        <v>40</v>
      </c>
      <c r="E19" s="64" t="s">
        <v>99</v>
      </c>
      <c r="F19" s="21"/>
      <c r="G19" s="89" t="s">
        <v>228</v>
      </c>
      <c r="I19" s="36"/>
      <c r="K19" s="36"/>
      <c r="M19" s="27" t="s">
        <v>120</v>
      </c>
      <c r="Q19" s="78"/>
      <c r="R19" s="36"/>
      <c r="U19" s="83"/>
      <c r="V19" s="36"/>
      <c r="W19" s="36"/>
    </row>
    <row r="20" spans="1:23" ht="16.5" thickBot="1">
      <c r="A20" s="95" t="s">
        <v>194</v>
      </c>
      <c r="E20" s="73" t="s">
        <v>182</v>
      </c>
      <c r="F20" s="21"/>
      <c r="G20" s="89" t="s">
        <v>51</v>
      </c>
      <c r="I20" s="30" t="s">
        <v>191</v>
      </c>
      <c r="M20" s="27" t="s">
        <v>127</v>
      </c>
      <c r="Q20" s="75"/>
      <c r="R20" s="36"/>
      <c r="S20" s="78"/>
      <c r="U20" s="83"/>
      <c r="V20" s="36"/>
      <c r="W20" s="36"/>
    </row>
    <row r="21" spans="1:23" ht="15.75">
      <c r="A21" s="66" t="s">
        <v>76</v>
      </c>
      <c r="E21" s="64" t="s">
        <v>179</v>
      </c>
      <c r="F21" s="21"/>
      <c r="G21" s="89" t="s">
        <v>229</v>
      </c>
      <c r="I21" s="68" t="s">
        <v>142</v>
      </c>
      <c r="M21" s="27" t="s">
        <v>121</v>
      </c>
      <c r="Q21" s="75"/>
      <c r="R21" s="36"/>
      <c r="S21" s="87"/>
      <c r="U21" s="78"/>
      <c r="V21" s="36"/>
      <c r="W21" s="36"/>
    </row>
    <row r="22" spans="1:23" ht="27.75" customHeight="1" thickBot="1">
      <c r="A22" s="66" t="s">
        <v>204</v>
      </c>
      <c r="E22" s="64" t="s">
        <v>181</v>
      </c>
      <c r="F22" s="21"/>
      <c r="G22" s="94" t="s">
        <v>40</v>
      </c>
      <c r="I22" s="64" t="s">
        <v>143</v>
      </c>
      <c r="M22" s="27" t="s">
        <v>122</v>
      </c>
      <c r="Q22" s="75"/>
      <c r="R22" s="36"/>
      <c r="S22" s="78"/>
      <c r="U22" s="78"/>
      <c r="V22" s="36"/>
      <c r="W22" s="36"/>
    </row>
    <row r="23" spans="1:23" ht="15.75">
      <c r="A23" s="66" t="s">
        <v>77</v>
      </c>
      <c r="C23" s="26"/>
      <c r="E23" s="64" t="s">
        <v>57</v>
      </c>
      <c r="F23" s="21"/>
      <c r="I23" s="64" t="s">
        <v>139</v>
      </c>
      <c r="M23" s="27" t="s">
        <v>123</v>
      </c>
      <c r="Q23" s="36"/>
      <c r="R23" s="36"/>
      <c r="S23" s="78"/>
      <c r="U23" s="78"/>
      <c r="V23" s="36"/>
      <c r="W23" s="36"/>
    </row>
    <row r="24" spans="1:23" ht="15.75">
      <c r="A24" s="73" t="s">
        <v>193</v>
      </c>
      <c r="E24" s="64" t="s">
        <v>101</v>
      </c>
      <c r="F24" s="21"/>
      <c r="I24" s="66" t="s">
        <v>85</v>
      </c>
      <c r="M24" s="27" t="s">
        <v>124</v>
      </c>
      <c r="Q24" s="36"/>
      <c r="R24" s="36"/>
      <c r="U24" s="78"/>
      <c r="V24" s="36"/>
      <c r="W24" s="36"/>
    </row>
    <row r="25" spans="1:23" ht="48" customHeight="1" thickBot="1">
      <c r="A25" s="77" t="s">
        <v>40</v>
      </c>
      <c r="D25" s="26"/>
      <c r="E25" s="64" t="s">
        <v>100</v>
      </c>
      <c r="F25" s="26"/>
      <c r="I25" s="82" t="s">
        <v>140</v>
      </c>
      <c r="L25" s="26"/>
      <c r="M25" s="27" t="s">
        <v>125</v>
      </c>
      <c r="N25" s="26"/>
      <c r="Q25" s="36"/>
      <c r="R25" s="36"/>
      <c r="U25" s="78"/>
      <c r="V25" s="36"/>
      <c r="W25" s="36"/>
    </row>
    <row r="26" spans="5:23" ht="16.5" thickBot="1">
      <c r="E26" s="64" t="s">
        <v>92</v>
      </c>
      <c r="F26" s="21"/>
      <c r="I26" s="66" t="s">
        <v>87</v>
      </c>
      <c r="M26" s="28" t="s">
        <v>126</v>
      </c>
      <c r="Q26" s="36"/>
      <c r="R26" s="36"/>
      <c r="U26" s="78"/>
      <c r="V26" s="36"/>
      <c r="W26" s="36"/>
    </row>
    <row r="27" spans="5:23" ht="16.5" customHeight="1">
      <c r="E27" s="64" t="s">
        <v>93</v>
      </c>
      <c r="F27" s="21"/>
      <c r="I27" s="64" t="s">
        <v>138</v>
      </c>
      <c r="M27" s="37"/>
      <c r="Q27" s="36"/>
      <c r="R27" s="37"/>
      <c r="U27" s="78"/>
      <c r="V27" s="36"/>
      <c r="W27" s="36"/>
    </row>
    <row r="28" spans="5:23" ht="12.75">
      <c r="E28" s="64" t="s">
        <v>94</v>
      </c>
      <c r="F28" s="21"/>
      <c r="I28" s="64" t="s">
        <v>137</v>
      </c>
      <c r="M28" s="38"/>
      <c r="Q28" s="36"/>
      <c r="R28" s="37"/>
      <c r="U28" s="78"/>
      <c r="V28" s="36"/>
      <c r="W28" s="36"/>
    </row>
    <row r="29" spans="5:23" ht="13.5" thickBot="1">
      <c r="E29" s="65" t="s">
        <v>40</v>
      </c>
      <c r="I29" s="66" t="s">
        <v>40</v>
      </c>
      <c r="M29" s="47"/>
      <c r="Q29" s="36"/>
      <c r="R29" s="37"/>
      <c r="U29" s="78"/>
      <c r="V29" s="36"/>
      <c r="W29" s="36"/>
    </row>
    <row r="30" spans="5:23" ht="13.5" thickBot="1">
      <c r="E30" s="21"/>
      <c r="I30" s="67" t="s">
        <v>52</v>
      </c>
      <c r="M30" s="47"/>
      <c r="Q30" s="36"/>
      <c r="R30" s="37"/>
      <c r="U30" s="78"/>
      <c r="V30" s="36"/>
      <c r="W30" s="36"/>
    </row>
    <row r="31" spans="5:23" ht="12.75">
      <c r="E31" s="26"/>
      <c r="Q31" s="36"/>
      <c r="R31" s="37"/>
      <c r="U31" s="36"/>
      <c r="V31" s="36"/>
      <c r="W31" s="36"/>
    </row>
    <row r="32" spans="5:23" ht="12.75">
      <c r="E32" s="21"/>
      <c r="M32" s="39"/>
      <c r="Q32" s="36"/>
      <c r="R32" s="37"/>
      <c r="U32" s="36"/>
      <c r="V32" s="36"/>
      <c r="W32" s="36"/>
    </row>
    <row r="33" spans="5:23" ht="12.75">
      <c r="E33" s="21"/>
      <c r="M33" s="44"/>
      <c r="Q33" s="36"/>
      <c r="R33" s="37"/>
      <c r="U33" s="36"/>
      <c r="V33" s="36"/>
      <c r="W33" s="36"/>
    </row>
    <row r="34" spans="5:23" ht="12.75">
      <c r="E34" s="21"/>
      <c r="M34" s="43"/>
      <c r="Q34" s="36"/>
      <c r="R34" s="37"/>
      <c r="U34" s="36"/>
      <c r="V34" s="36"/>
      <c r="W34" s="36"/>
    </row>
    <row r="35" spans="18:21" ht="12.75">
      <c r="R35" s="37"/>
      <c r="U35" s="36"/>
    </row>
    <row r="36" spans="18:26" ht="12.75">
      <c r="R36" s="37"/>
      <c r="U36" s="36"/>
      <c r="Z36" s="34"/>
    </row>
    <row r="37" spans="18:21" ht="12.75">
      <c r="R37" s="37"/>
      <c r="U37" s="36"/>
    </row>
    <row r="38" spans="18:21" ht="12.75">
      <c r="R38" s="37"/>
      <c r="U38"/>
    </row>
    <row r="39" spans="18:21" ht="12.75">
      <c r="R39" s="37"/>
      <c r="U39"/>
    </row>
    <row r="40" spans="18:21" ht="12.75">
      <c r="R40" s="37"/>
      <c r="U40"/>
    </row>
    <row r="41" spans="18:21" ht="12.75">
      <c r="R41" s="37"/>
      <c r="U41"/>
    </row>
    <row r="42" spans="18:21" ht="12.75">
      <c r="R42" s="37"/>
      <c r="U42"/>
    </row>
    <row r="43" spans="18:21" ht="12.75">
      <c r="R43" s="37"/>
      <c r="U43"/>
    </row>
    <row r="44" spans="18:21" ht="12.75">
      <c r="R44" s="37"/>
      <c r="U44"/>
    </row>
    <row r="45" spans="18:21" ht="12.75">
      <c r="R45" s="37"/>
      <c r="U45"/>
    </row>
    <row r="46" spans="18:21" ht="12.75">
      <c r="R46" s="37"/>
      <c r="U46"/>
    </row>
    <row r="47" spans="18:21" ht="12.75">
      <c r="R47" s="37"/>
      <c r="U47"/>
    </row>
    <row r="48" spans="18:21" ht="12.75">
      <c r="R48" s="37"/>
      <c r="U48"/>
    </row>
    <row r="49" ht="12.75">
      <c r="R49" s="37"/>
    </row>
    <row r="50" ht="12.75">
      <c r="R50" s="3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3:AZ61"/>
  <sheetViews>
    <sheetView zoomScale="118" zoomScaleNormal="118" zoomScalePageLayoutView="0" workbookViewId="0" topLeftCell="A1">
      <selection activeCell="T11" sqref="T11"/>
    </sheetView>
  </sheetViews>
  <sheetFormatPr defaultColWidth="8.140625" defaultRowHeight="12.75"/>
  <cols>
    <col min="1" max="1" width="12.7109375" style="8" customWidth="1"/>
    <col min="2" max="2" width="11.140625" style="8" customWidth="1"/>
    <col min="3" max="3" width="8.421875" style="8" customWidth="1"/>
    <col min="4" max="4" width="7.00390625" style="8" customWidth="1"/>
    <col min="5" max="5" width="8.140625" style="8" customWidth="1"/>
    <col min="6" max="6" width="7.28125" style="8" customWidth="1"/>
    <col min="7" max="7" width="8.00390625" style="8" customWidth="1"/>
    <col min="8" max="8" width="8.140625" style="8" customWidth="1"/>
    <col min="9" max="9" width="7.421875" style="8" customWidth="1"/>
    <col min="10" max="10" width="11.421875" style="8" customWidth="1"/>
    <col min="11" max="11" width="10.8515625" style="8" customWidth="1"/>
    <col min="12" max="12" width="18.140625" style="8" customWidth="1"/>
    <col min="13" max="13" width="9.421875" style="8" customWidth="1"/>
    <col min="14" max="14" width="7.140625" style="8" customWidth="1"/>
    <col min="15" max="15" width="12.421875" style="8" customWidth="1"/>
    <col min="16" max="16" width="11.28125" style="8" customWidth="1"/>
    <col min="17" max="17" width="7.8515625" style="8" customWidth="1"/>
    <col min="18" max="18" width="8.00390625" style="8" customWidth="1"/>
    <col min="19" max="19" width="6.8515625" style="8" customWidth="1"/>
    <col min="20" max="20" width="7.8515625" style="8" customWidth="1"/>
    <col min="21" max="21" width="8.421875" style="8" customWidth="1"/>
    <col min="22" max="22" width="11.140625" style="8" customWidth="1"/>
    <col min="23" max="23" width="13.28125" style="8" customWidth="1"/>
    <col min="24" max="24" width="8.7109375" style="8" customWidth="1"/>
    <col min="25" max="25" width="6.140625" style="8" customWidth="1"/>
    <col min="26" max="26" width="6.00390625" style="8" customWidth="1"/>
    <col min="27" max="27" width="8.28125" style="8" customWidth="1"/>
    <col min="28" max="28" width="6.7109375" style="8" customWidth="1"/>
    <col min="29" max="29" width="6.28125" style="8" customWidth="1"/>
    <col min="30" max="50" width="8.140625" style="8" customWidth="1"/>
    <col min="51" max="16384" width="8.140625" style="1" customWidth="1"/>
  </cols>
  <sheetData>
    <row r="2" ht="6" customHeight="1"/>
    <row r="3" spans="1:19" s="8" customFormat="1" ht="54.75" customHeight="1">
      <c r="A3" s="23" t="s">
        <v>3</v>
      </c>
      <c r="B3" s="14" t="s">
        <v>184</v>
      </c>
      <c r="C3" s="14" t="s">
        <v>185</v>
      </c>
      <c r="D3" s="14" t="s">
        <v>200</v>
      </c>
      <c r="E3" s="14" t="s">
        <v>88</v>
      </c>
      <c r="F3" s="14" t="s">
        <v>89</v>
      </c>
      <c r="G3" s="14" t="s">
        <v>55</v>
      </c>
      <c r="H3" s="14" t="s">
        <v>56</v>
      </c>
      <c r="I3" s="14" t="s">
        <v>90</v>
      </c>
      <c r="J3" s="14" t="s">
        <v>57</v>
      </c>
      <c r="K3" s="14" t="s">
        <v>95</v>
      </c>
      <c r="L3" s="14" t="s">
        <v>201</v>
      </c>
      <c r="M3" s="14" t="s">
        <v>180</v>
      </c>
      <c r="N3" s="14" t="s">
        <v>202</v>
      </c>
      <c r="O3" s="14" t="s">
        <v>91</v>
      </c>
      <c r="P3" s="14" t="s">
        <v>92</v>
      </c>
      <c r="Q3" s="14" t="s">
        <v>93</v>
      </c>
      <c r="R3" s="14" t="s">
        <v>94</v>
      </c>
      <c r="S3" s="14" t="s">
        <v>40</v>
      </c>
    </row>
    <row r="4" spans="2:50" ht="12.75">
      <c r="B4" s="11">
        <f>COUNTIF('Main Data'!$I$2:$I$9984,"Res Bathroom")</f>
        <v>2</v>
      </c>
      <c r="C4" s="11">
        <f>COUNTIF('Main Data'!$I$2:$I$9984,"Work Bathroom")</f>
        <v>1</v>
      </c>
      <c r="D4" s="11">
        <f>COUNTIF('Main Data'!$I$2:$I$9984,"Day hab Bathroom")</f>
        <v>1</v>
      </c>
      <c r="E4" s="11">
        <f>COUNTIF('Main Data'!$I$2:$I$9984,"Ind Bedroom")</f>
        <v>2</v>
      </c>
      <c r="F4" s="11">
        <f>COUNTIF('Main Data'!$I$2:$I$9984,"Other Bedroom")</f>
        <v>3</v>
      </c>
      <c r="G4" s="11">
        <f>COUNTIF('Main Data'!$I$2:$I$9984,"Kitchen")</f>
        <v>3</v>
      </c>
      <c r="H4" s="11">
        <f>COUNTIF('Main Data'!$I$2:$I$9984,"Living Room")</f>
        <v>2</v>
      </c>
      <c r="I4" s="11">
        <f>COUNTIF('Main Data'!$I$2:$I$9984,"Dining Room")</f>
        <v>1</v>
      </c>
      <c r="J4" s="11">
        <f>COUNTIF('Main Data'!$I$2:$I$9984,"Office")</f>
        <v>1</v>
      </c>
      <c r="K4" s="11">
        <f>COUNTIF('Main Data'!$I$2:$I$9984,"Outside/Parking Lot")</f>
        <v>2</v>
      </c>
      <c r="L4" s="11">
        <f>COUNTIF('Main Data'!$I$2:$I$9984,"Program Area")</f>
        <v>1</v>
      </c>
      <c r="M4" s="11">
        <f>COUNTIF('Main Data'!$I$2:$I$9984,"Fitness Room")</f>
        <v>1</v>
      </c>
      <c r="N4" s="11">
        <f>COUNTIF('Main Data'!$I$2:$I$9984,"Sensory Room")</f>
        <v>1</v>
      </c>
      <c r="O4" s="11">
        <f>COUNTIF('Main Data'!$I$2:$I$9984,"Laundry Room")</f>
        <v>2</v>
      </c>
      <c r="P4" s="11">
        <f>COUNTIF('Main Data'!$I$2:$I$9984,"Basement")</f>
        <v>2</v>
      </c>
      <c r="Q4" s="11">
        <f>COUNTIF('Main Data'!$I$2:$I$9984,"Van")</f>
        <v>2</v>
      </c>
      <c r="R4" s="11">
        <f>COUNTIF('Main Data'!$I$2:$I$9984,"Community")</f>
        <v>2</v>
      </c>
      <c r="S4" s="11">
        <f>COUNTIF('Main Data'!$I$2:$I$9984,"Other")</f>
        <v>1</v>
      </c>
      <c r="AV4" s="1"/>
      <c r="AW4" s="1"/>
      <c r="AX4" s="1"/>
    </row>
    <row r="5" spans="2:50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AS5" s="1"/>
      <c r="AT5" s="1"/>
      <c r="AU5" s="1"/>
      <c r="AV5" s="1"/>
      <c r="AW5" s="1"/>
      <c r="AX5" s="1"/>
    </row>
    <row r="6" ht="12.75">
      <c r="AX6" s="1"/>
    </row>
    <row r="7" spans="1:15" ht="68.25" customHeight="1">
      <c r="A7" s="23" t="s">
        <v>19</v>
      </c>
      <c r="B7" s="14" t="s">
        <v>235</v>
      </c>
      <c r="C7" s="14" t="s">
        <v>242</v>
      </c>
      <c r="D7" s="14" t="s">
        <v>236</v>
      </c>
      <c r="E7" s="14" t="s">
        <v>237</v>
      </c>
      <c r="F7" s="14" t="s">
        <v>238</v>
      </c>
      <c r="G7" s="14" t="s">
        <v>243</v>
      </c>
      <c r="H7" s="14" t="s">
        <v>239</v>
      </c>
      <c r="I7" s="14" t="s">
        <v>240</v>
      </c>
      <c r="J7" s="14" t="s">
        <v>241</v>
      </c>
      <c r="K7" s="14" t="s">
        <v>187</v>
      </c>
      <c r="L7" s="14" t="s">
        <v>203</v>
      </c>
      <c r="M7" s="14" t="s">
        <v>189</v>
      </c>
      <c r="N7" s="14" t="s">
        <v>190</v>
      </c>
      <c r="O7" s="14" t="s">
        <v>40</v>
      </c>
    </row>
    <row r="8" spans="2:15" ht="12.75">
      <c r="B8" s="11">
        <f>COUNTIF('Main Data'!$C$2:$C$9984,"Smith St")</f>
        <v>1</v>
      </c>
      <c r="C8" s="11">
        <f>COUNTIF('Main Data'!$C$2:$C$9984,"Tower Rd")</f>
        <v>2</v>
      </c>
      <c r="D8" s="11">
        <f>COUNTIF('Main Data'!$C$2:$C$9984,"Ocean St")</f>
        <v>5</v>
      </c>
      <c r="E8" s="11">
        <f>COUNTIF('Main Data'!$C$2:$C$9984,"Buckingham")</f>
        <v>3</v>
      </c>
      <c r="F8" s="11">
        <f>COUNTIF('Main Data'!$C$2:$C$9984,"Costa Way")</f>
        <v>1</v>
      </c>
      <c r="G8" s="11">
        <f>COUNTIF('Main Data'!$C$2:$C$9984,"Silver St")</f>
        <v>1</v>
      </c>
      <c r="H8" s="11">
        <f>COUNTIF('Main Data'!$C$2:$C$9984,"Roger Circle")</f>
        <v>2</v>
      </c>
      <c r="I8" s="11">
        <f>COUNTIF('Main Data'!$C$2:$C$9984,"Cliff Ave")</f>
        <v>2</v>
      </c>
      <c r="J8" s="11">
        <f>COUNTIF('Main Data'!$C$2:$C$9984,"Spring St")</f>
        <v>1</v>
      </c>
      <c r="K8" s="11">
        <f>COUNTIF('Main Data'!$C$2:$C$9984,"Day Hab")</f>
        <v>5</v>
      </c>
      <c r="L8" s="11">
        <f>COUNTIF('Main Data'!$C$2:$C$9984,"EMP")</f>
        <v>2</v>
      </c>
      <c r="M8" s="11">
        <f>COUNTIF('Main Data'!$C$2:$C$9984,"CBDS")</f>
        <v>3</v>
      </c>
      <c r="N8" s="11">
        <f>COUNTIF('Main Data'!$C$2:$C$9984,"Co Op")</f>
        <v>2</v>
      </c>
      <c r="O8" s="11">
        <f>COUNTIF('Main Data'!$C$2:$C$9984,"other")</f>
        <v>0</v>
      </c>
    </row>
    <row r="9" spans="2:50" ht="12.75">
      <c r="B9" s="35"/>
      <c r="C9" s="35"/>
      <c r="D9" s="35"/>
      <c r="E9" s="35"/>
      <c r="F9" s="35"/>
      <c r="G9" s="35"/>
      <c r="H9" s="35"/>
      <c r="I9" s="35"/>
      <c r="J9" s="35"/>
      <c r="AX9" s="1"/>
    </row>
    <row r="10" spans="17:50" ht="15.75" customHeight="1">
      <c r="Q10" s="1"/>
      <c r="R10" s="1"/>
      <c r="AX10" s="1"/>
    </row>
    <row r="11" spans="1:23" s="8" customFormat="1" ht="129.75" customHeight="1">
      <c r="A11" s="23" t="s">
        <v>227</v>
      </c>
      <c r="B11" s="85" t="s">
        <v>226</v>
      </c>
      <c r="C11" s="42" t="s">
        <v>103</v>
      </c>
      <c r="D11" s="85" t="s">
        <v>214</v>
      </c>
      <c r="E11" s="86" t="s">
        <v>215</v>
      </c>
      <c r="F11" s="86" t="s">
        <v>213</v>
      </c>
      <c r="G11" s="84" t="s">
        <v>212</v>
      </c>
      <c r="H11" s="85" t="s">
        <v>217</v>
      </c>
      <c r="I11" s="85" t="s">
        <v>211</v>
      </c>
      <c r="J11" s="41" t="s">
        <v>102</v>
      </c>
      <c r="K11" s="85" t="s">
        <v>175</v>
      </c>
      <c r="L11" s="42" t="s">
        <v>61</v>
      </c>
      <c r="M11" s="85" t="s">
        <v>210</v>
      </c>
      <c r="N11" s="42" t="s">
        <v>63</v>
      </c>
      <c r="O11" s="42" t="s">
        <v>40</v>
      </c>
      <c r="W11" s="26"/>
    </row>
    <row r="12" spans="2:50" ht="12.75">
      <c r="B12" s="12">
        <f>COUNTIF('Main Data'!$J$2:$J$9983,"Disruptive")</f>
        <v>3</v>
      </c>
      <c r="C12" s="12">
        <f>COUNTIF('Main Data'!$J$2:$J$9983,"Non Compliance")</f>
        <v>1</v>
      </c>
      <c r="D12" s="12">
        <f>COUNTIF('Main Data'!$J$2:$J$9983,"Abusive Language")</f>
        <v>2</v>
      </c>
      <c r="E12" s="12">
        <f>COUNTIF('Main Data'!$J$2:$J$9983,"Verbal Threat")</f>
        <v>4</v>
      </c>
      <c r="F12" s="12">
        <f>COUNTIF('Main Data'!$J$2:$J$9983,"Physical Altercation")</f>
        <v>3</v>
      </c>
      <c r="G12" s="12">
        <f>COUNTIF('Main Data'!$J$2:$J$9983,"Physical Aggression")</f>
        <v>2</v>
      </c>
      <c r="H12" s="12">
        <f>COUNTIF('Main Data'!$J$2:$J$9983,"SIB")</f>
        <v>2</v>
      </c>
      <c r="I12" s="12">
        <f>COUNTIF('Main Data'!$J$2:$J$9983,"Inapp Sexual Behavior")</f>
        <v>2</v>
      </c>
      <c r="J12" s="12">
        <f>COUNTIF('Main Data'!$J$2:$J$9983,"Property Damage")</f>
        <v>3</v>
      </c>
      <c r="K12" s="12">
        <f>COUNTIF('Main Data'!$J$2:$J$9983,"Fall")</f>
        <v>1</v>
      </c>
      <c r="L12" s="12">
        <f>COUNTIF('Main Data'!$J$2:$J$9983,"Eloping")</f>
        <v>1</v>
      </c>
      <c r="M12" s="12">
        <f>COUNTIF('Main Data'!$J$2:$J$9983,"Medication Refusal")</f>
        <v>3</v>
      </c>
      <c r="N12" s="12">
        <f>COUNTIF('Main Data'!$J$2:$J$9983,"Pica")</f>
        <v>2</v>
      </c>
      <c r="O12" s="12">
        <f>COUNTIF('Main Data'!$J$2:$J$9983,"Other")</f>
        <v>0</v>
      </c>
      <c r="Q12" s="1"/>
      <c r="R12" s="1"/>
      <c r="S12" s="1"/>
      <c r="T12" s="1"/>
      <c r="U12" s="1"/>
      <c r="V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2:50" ht="12.75"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ht="12" customHeight="1"/>
    <row r="15" spans="1:50" ht="69" customHeight="1">
      <c r="A15" s="20" t="s">
        <v>2</v>
      </c>
      <c r="B15" s="14" t="s">
        <v>105</v>
      </c>
      <c r="C15" s="14" t="s">
        <v>106</v>
      </c>
      <c r="D15" s="14" t="s">
        <v>107</v>
      </c>
      <c r="E15" s="14" t="s">
        <v>108</v>
      </c>
      <c r="F15" s="14" t="s">
        <v>109</v>
      </c>
      <c r="G15" s="14" t="s">
        <v>110</v>
      </c>
      <c r="H15" s="14" t="s">
        <v>104</v>
      </c>
      <c r="I15" s="14" t="s">
        <v>111</v>
      </c>
      <c r="J15" s="14" t="s">
        <v>112</v>
      </c>
      <c r="K15" s="14" t="s">
        <v>113</v>
      </c>
      <c r="L15" s="14" t="s">
        <v>114</v>
      </c>
      <c r="M15" s="14" t="s">
        <v>115</v>
      </c>
      <c r="N15" s="14" t="s">
        <v>116</v>
      </c>
      <c r="O15" s="14" t="s">
        <v>149</v>
      </c>
      <c r="P15" s="14" t="s">
        <v>118</v>
      </c>
      <c r="Q15" s="14" t="s">
        <v>119</v>
      </c>
      <c r="R15" s="14" t="s">
        <v>120</v>
      </c>
      <c r="S15" s="14" t="s">
        <v>127</v>
      </c>
      <c r="T15" s="14" t="s">
        <v>121</v>
      </c>
      <c r="U15" s="14" t="s">
        <v>122</v>
      </c>
      <c r="V15" s="14" t="s">
        <v>123</v>
      </c>
      <c r="W15" s="14" t="s">
        <v>124</v>
      </c>
      <c r="X15" s="14" t="s">
        <v>125</v>
      </c>
      <c r="Y15" s="14" t="s">
        <v>126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9.5" customHeight="1">
      <c r="A16" s="49"/>
      <c r="B16" s="12">
        <f>COUNTIF('Main Data'!$G$2:$G$9984,"6am-7am")</f>
        <v>1</v>
      </c>
      <c r="C16" s="12">
        <f>COUNTIF('Main Data'!$G$2:$G$9984,"7am-8am")</f>
        <v>1</v>
      </c>
      <c r="D16" s="12">
        <f>COUNTIF('Main Data'!$G$2:$G$9984,"8am-9am")</f>
        <v>2</v>
      </c>
      <c r="E16" s="12">
        <f>COUNTIF('Main Data'!$G$2:$G$9984,"9am-10am")</f>
        <v>2</v>
      </c>
      <c r="F16" s="12">
        <f>COUNTIF('Main Data'!$G$2:$G$9984,"10am-11am")</f>
        <v>1</v>
      </c>
      <c r="G16" s="12">
        <f>COUNTIF('Main Data'!$G$2:$G$9984,"11am-12noon")</f>
        <v>1</v>
      </c>
      <c r="H16" s="12">
        <f>COUNTIF('Main Data'!$G$2:$G$9984,"12noon-1pm")</f>
        <v>2</v>
      </c>
      <c r="I16" s="12">
        <f>COUNTIF('Main Data'!$G$2:$G$9984,"1pm-2pm")</f>
        <v>2</v>
      </c>
      <c r="J16" s="12">
        <f>COUNTIF('Main Data'!$G$2:$G$9984,"2pm-3pm")</f>
        <v>1</v>
      </c>
      <c r="K16" s="12">
        <f>COUNTIF('Main Data'!$G$2:$G$9984,"3pm-4pm")</f>
        <v>1</v>
      </c>
      <c r="L16" s="12">
        <f>COUNTIF('Main Data'!$G$2:$G$9984,"4pm-5pm")</f>
        <v>2</v>
      </c>
      <c r="M16" s="12">
        <f>COUNTIF('Main Data'!$G$2:$G$9984,"5pm-6pm")</f>
        <v>1</v>
      </c>
      <c r="N16" s="12">
        <f>COUNTIF('Main Data'!$G$2:$G$9984,"6pm-7pm")</f>
        <v>1</v>
      </c>
      <c r="O16" s="12">
        <f>COUNTIF('Main Data'!$G$2:$G$9984,"7pm-8pm")</f>
        <v>1</v>
      </c>
      <c r="P16" s="12">
        <f>COUNTIF('Main Data'!$G$2:$G$9984,"8pm-9pm")</f>
        <v>1</v>
      </c>
      <c r="Q16" s="12">
        <f>COUNTIF('Main Data'!$G$2:$G$9984,"9pm-10pm")</f>
        <v>1</v>
      </c>
      <c r="R16" s="12">
        <f>COUNTIF('Main Data'!$G$2:$G$9984,"10pm-11pm")</f>
        <v>1</v>
      </c>
      <c r="S16" s="12">
        <f>COUNTIF('Main Data'!$G$2:$G$9984,"11pm-12am")</f>
        <v>2</v>
      </c>
      <c r="T16" s="12">
        <f>COUNTIF('Main Data'!$G$2:$G$9984,"12am-1am")</f>
        <v>1</v>
      </c>
      <c r="U16" s="12">
        <f>COUNTIF('Main Data'!$G$2:$G$9984,"1am-2am")</f>
        <v>1</v>
      </c>
      <c r="V16" s="12">
        <f>COUNTIF('Main Data'!$G$2:$G$9984,"2am-3am")</f>
        <v>1</v>
      </c>
      <c r="W16" s="12">
        <f>COUNTIF('Main Data'!$G$2:$G$9984,"3am-4am")</f>
        <v>1</v>
      </c>
      <c r="X16" s="12">
        <f>COUNTIF('Main Data'!$G$2:$G$9984,"4am-5am")</f>
        <v>1</v>
      </c>
      <c r="Y16" s="12">
        <f>COUNTIF('Main Data'!$G$2:$G$9984,"5am-6am")</f>
        <v>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9.5" customHeight="1">
      <c r="A17" s="3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9.5" customHeight="1">
      <c r="A18" s="3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80.25" customHeight="1">
      <c r="A19" s="23" t="s">
        <v>42</v>
      </c>
      <c r="B19" s="15" t="s">
        <v>131</v>
      </c>
      <c r="C19" s="15" t="s">
        <v>38</v>
      </c>
      <c r="D19" s="15" t="s">
        <v>132</v>
      </c>
      <c r="E19" s="15" t="s">
        <v>133</v>
      </c>
      <c r="F19" s="15" t="s">
        <v>176</v>
      </c>
      <c r="G19" s="15" t="s">
        <v>45</v>
      </c>
      <c r="H19" s="15" t="s">
        <v>209</v>
      </c>
      <c r="I19" s="15" t="s">
        <v>44</v>
      </c>
      <c r="J19" s="15" t="s">
        <v>43</v>
      </c>
      <c r="K19" s="15" t="s">
        <v>69</v>
      </c>
      <c r="L19" s="15" t="s">
        <v>136</v>
      </c>
      <c r="M19" s="15" t="s">
        <v>207</v>
      </c>
      <c r="N19" s="15" t="s">
        <v>39</v>
      </c>
      <c r="O19" s="15" t="s">
        <v>134</v>
      </c>
      <c r="P19" s="15" t="s">
        <v>218</v>
      </c>
      <c r="Q19" s="15" t="s">
        <v>52</v>
      </c>
      <c r="R19" s="15" t="s">
        <v>40</v>
      </c>
      <c r="AW19" s="1"/>
      <c r="AX19" s="1"/>
    </row>
    <row r="20" spans="2:50" ht="15.75">
      <c r="B20" s="13">
        <f>COUNTIF('Main Data'!$L$2:$L$9984,"Staff Interaction")</f>
        <v>1</v>
      </c>
      <c r="C20" s="13">
        <f>COUNTIF('Main Data'!$L$2:$L$9984,"Staff Request")</f>
        <v>3</v>
      </c>
      <c r="D20" s="13">
        <f>COUNTIF('Main Data'!$L$2:$L$9984,"Peer interaction")</f>
        <v>3</v>
      </c>
      <c r="E20" s="13">
        <f>COUNTIF('Main Data'!$L$2:$L$9984,"Prior Incident")</f>
        <v>1</v>
      </c>
      <c r="F20" s="13">
        <f>COUNTIF('Main Data'!$L$2:$L$9984,"Challenging Task")</f>
        <v>1</v>
      </c>
      <c r="G20" s="13">
        <f>COUNTIF('Main Data'!$L$2:$L$9984,"noisy environment")</f>
        <v>2</v>
      </c>
      <c r="H20" s="13">
        <f>COUNTIF('Main Data'!$L$2:$L$9984,"New/Changed Environment")</f>
        <v>2</v>
      </c>
      <c r="I20" s="13">
        <f>COUNTIF('Main Data'!$L$2:$L$9984,"change routine")</f>
        <v>1</v>
      </c>
      <c r="J20" s="13">
        <f>COUNTIF('Main Data'!$L$2:$L$9984,"home visit")</f>
        <v>1</v>
      </c>
      <c r="K20" s="13">
        <f>COUNTIF('Main Data'!$L$2:$L$9984,"Interaction with stranger")</f>
        <v>3</v>
      </c>
      <c r="L20" s="13">
        <f>COUNTIF('Main Data'!$L$2:$L$9984,"medication")</f>
        <v>1</v>
      </c>
      <c r="M20" s="13">
        <f>COUNTIF('Main Data'!$L$2:$L$9984,"Medical")</f>
        <v>1</v>
      </c>
      <c r="N20" s="13">
        <f>COUNTIF('Main Data'!$L$2:$L$9984,"Transition")</f>
        <v>1</v>
      </c>
      <c r="O20" s="13">
        <f>COUNTIF('Main Data'!$L$2:$L$9984,"Van Transportation")</f>
        <v>1</v>
      </c>
      <c r="P20" s="13">
        <f>COUNTIF('Main Data'!$L$2:$L$9984,"Denied Item/Activity")</f>
        <v>2</v>
      </c>
      <c r="Q20" s="13">
        <f>COUNTIF('Main Data'!$L$2:$L$9984,"Unknown")</f>
        <v>2</v>
      </c>
      <c r="R20" s="13">
        <f>COUNTIF('Main Data'!$L$2:$L$9984,"other")</f>
        <v>1</v>
      </c>
      <c r="AW20" s="1"/>
      <c r="AX20" s="1"/>
    </row>
    <row r="21" spans="2:20" ht="15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3" spans="1:11" ht="77.25" customHeight="1">
      <c r="A23" s="9" t="s">
        <v>4</v>
      </c>
      <c r="B23" s="15" t="s">
        <v>142</v>
      </c>
      <c r="C23" s="15" t="s">
        <v>141</v>
      </c>
      <c r="D23" s="15" t="s">
        <v>18</v>
      </c>
      <c r="E23" s="15" t="s">
        <v>85</v>
      </c>
      <c r="F23" s="15" t="s">
        <v>140</v>
      </c>
      <c r="G23" s="15" t="s">
        <v>144</v>
      </c>
      <c r="H23" s="15" t="s">
        <v>138</v>
      </c>
      <c r="I23" s="15" t="s">
        <v>137</v>
      </c>
      <c r="J23" s="15" t="s">
        <v>5</v>
      </c>
      <c r="K23" s="15" t="s">
        <v>52</v>
      </c>
    </row>
    <row r="24" spans="2:11" ht="21" customHeight="1">
      <c r="B24" s="13">
        <f>COUNTIF('Main Data'!$K$2:$K$9984,"Obtain Staff Attention")</f>
        <v>1</v>
      </c>
      <c r="C24" s="13">
        <f>COUNTIF('Main Data'!$K$2:$K$9984,"Avoid Staff Attention")</f>
        <v>3</v>
      </c>
      <c r="D24" s="13">
        <f>COUNTIF('Main Data'!$K$2:$K$9984,"Obtain Peer Attention")</f>
        <v>2</v>
      </c>
      <c r="E24" s="13">
        <f>COUNTIF('Main Data'!$K$2:$K$9984,"Avoid Peer Attention")</f>
        <v>5</v>
      </c>
      <c r="F24" s="13">
        <f>COUNTIF('Main Data'!$K$2:$K$9984,"Obtain Item")</f>
        <v>2</v>
      </c>
      <c r="G24" s="13">
        <f>COUNTIF('Main Data'!$K$2:$K$9984,"Avoid Task")</f>
        <v>4</v>
      </c>
      <c r="H24" s="13">
        <f>COUNTIF('Main Data'!$K$2:$K$9984,"Obtain Sensory")</f>
        <v>3</v>
      </c>
      <c r="I24" s="13">
        <f>COUNTIF('Main Data'!$K$2:$K$9984,"Avoid Sensory")</f>
        <v>4</v>
      </c>
      <c r="J24" s="13">
        <f>COUNTIF('Main Data'!$K$2:$K$9984,"Other")</f>
        <v>3</v>
      </c>
      <c r="K24" s="13">
        <f>COUNTIF('Main Data'!$K$2:$K$9984,"Unknown")</f>
        <v>3</v>
      </c>
    </row>
    <row r="25" spans="2:51" ht="21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AY25" s="8"/>
    </row>
    <row r="27" spans="1:50" ht="71.25" customHeight="1">
      <c r="A27" s="23" t="s">
        <v>6</v>
      </c>
      <c r="B27" s="15" t="s">
        <v>51</v>
      </c>
      <c r="C27" s="15" t="s">
        <v>64</v>
      </c>
      <c r="D27" s="15" t="s">
        <v>145</v>
      </c>
      <c r="E27" s="15" t="s">
        <v>230</v>
      </c>
      <c r="F27" s="15" t="s">
        <v>234</v>
      </c>
      <c r="G27" s="15" t="s">
        <v>40</v>
      </c>
      <c r="AX27" s="1"/>
    </row>
    <row r="28" spans="2:50" ht="15.75">
      <c r="B28" s="13">
        <f>COUNTIF('Main Data'!$N$2:$N$9984,"Staff")</f>
        <v>8</v>
      </c>
      <c r="C28" s="13">
        <f>COUNTIF('Main Data'!$N$2:$N$9984,"Manager")</f>
        <v>5</v>
      </c>
      <c r="D28" s="13">
        <f>COUNTIF('Main Data'!$N$2:$N$9984,"Peers")</f>
        <v>2</v>
      </c>
      <c r="E28" s="13">
        <f>COUNTIF('Main Data'!$N$2:$N$9984,"family")</f>
        <v>2</v>
      </c>
      <c r="F28" s="13">
        <f>COUNTIF('Main Data'!$N$2:$N$9984,"Multiple")</f>
        <v>3</v>
      </c>
      <c r="G28" s="13">
        <f>COUNTIF('Main Data'!$N$2:$N$9984,"Other")</f>
        <v>3</v>
      </c>
      <c r="AX28" s="1"/>
    </row>
    <row r="29" spans="2:50" ht="15.75">
      <c r="B29" s="24"/>
      <c r="C29" s="24"/>
      <c r="D29" s="24"/>
      <c r="E29" s="24"/>
      <c r="F29" s="24"/>
      <c r="AW29" s="1"/>
      <c r="AX29" s="1"/>
    </row>
    <row r="30" ht="12.75">
      <c r="AX30" s="1"/>
    </row>
    <row r="31" spans="1:50" ht="69.75" customHeight="1">
      <c r="A31" s="16" t="s">
        <v>7</v>
      </c>
      <c r="B31" s="14" t="s">
        <v>50</v>
      </c>
      <c r="C31" s="14" t="s">
        <v>49</v>
      </c>
      <c r="D31" s="14" t="s">
        <v>48</v>
      </c>
      <c r="E31" s="14" t="s">
        <v>37</v>
      </c>
      <c r="F31" s="14" t="s">
        <v>199</v>
      </c>
      <c r="G31" s="14" t="s">
        <v>30</v>
      </c>
      <c r="H31" s="14" t="s">
        <v>47</v>
      </c>
      <c r="I31" s="14" t="s">
        <v>15</v>
      </c>
      <c r="J31" s="14" t="s">
        <v>46</v>
      </c>
      <c r="K31" s="14" t="s">
        <v>17</v>
      </c>
      <c r="L31" s="14" t="s">
        <v>32</v>
      </c>
      <c r="M31" s="14" t="s">
        <v>33</v>
      </c>
      <c r="AX31" s="1"/>
    </row>
    <row r="32" spans="2:50" ht="15.75">
      <c r="B32" s="13">
        <f>COUNTIF('Main Data'!$E$2:$E$9984,"September")</f>
        <v>4</v>
      </c>
      <c r="C32" s="13">
        <f>COUNTIF('Main Data'!$E$2:$E$9984,"October")</f>
        <v>3</v>
      </c>
      <c r="D32" s="13">
        <f>COUNTIF('Main Data'!$E$2:$E$9984,"November")</f>
        <v>2</v>
      </c>
      <c r="E32" s="13">
        <f>COUNTIF('Main Data'!$E$2:$E$9984,"December")</f>
        <v>2</v>
      </c>
      <c r="F32" s="13">
        <f>COUNTIF('Main Data'!$E$2:$E$9984,"January")</f>
        <v>1</v>
      </c>
      <c r="G32" s="13">
        <f>COUNTIF('Main Data'!$E$2:$E$9984,"February")</f>
        <v>3</v>
      </c>
      <c r="H32" s="13">
        <f>COUNTIF('Main Data'!$E$2:$E$9984,"March")</f>
        <v>3</v>
      </c>
      <c r="I32" s="13">
        <f>COUNTIF('Main Data'!$E$2:$E$9984,"April")</f>
        <v>3</v>
      </c>
      <c r="J32" s="13">
        <f>COUNTIF('Main Data'!$E$2:$E$9984,"May")</f>
        <v>2</v>
      </c>
      <c r="K32" s="13">
        <f>COUNTIF('Main Data'!$E$2:$E$9984,"June")</f>
        <v>3</v>
      </c>
      <c r="L32" s="13">
        <f>COUNTIF('Main Data'!$E$2:$E$9984,"July")</f>
        <v>2</v>
      </c>
      <c r="M32" s="13">
        <f>COUNTIF('Main Data'!$E$2:$E$9984,"August")</f>
        <v>2</v>
      </c>
      <c r="AX32" s="1"/>
    </row>
    <row r="33" spans="2:13" ht="12.75">
      <c r="B33" s="7" t="s">
        <v>11</v>
      </c>
      <c r="C33" s="7" t="s">
        <v>12</v>
      </c>
      <c r="D33" s="7" t="s">
        <v>13</v>
      </c>
      <c r="E33" s="7" t="s">
        <v>8</v>
      </c>
      <c r="F33" s="7" t="s">
        <v>9</v>
      </c>
      <c r="G33" s="7" t="s">
        <v>10</v>
      </c>
      <c r="H33" s="7" t="s">
        <v>14</v>
      </c>
      <c r="I33" s="7" t="s">
        <v>15</v>
      </c>
      <c r="J33" s="7" t="s">
        <v>16</v>
      </c>
      <c r="K33" s="7" t="s">
        <v>17</v>
      </c>
      <c r="L33" s="7" t="s">
        <v>32</v>
      </c>
      <c r="M33" s="7" t="s">
        <v>33</v>
      </c>
    </row>
    <row r="34" spans="2:13" ht="12.75">
      <c r="B34" s="8">
        <f>B32/30</f>
        <v>0.13333333333333333</v>
      </c>
      <c r="C34" s="8">
        <f>C32/31</f>
        <v>0.0967741935483871</v>
      </c>
      <c r="D34" s="8">
        <f>D32/30</f>
        <v>0.06666666666666667</v>
      </c>
      <c r="E34" s="8">
        <f>E32/31</f>
        <v>0.06451612903225806</v>
      </c>
      <c r="F34" s="8">
        <f>F32/31</f>
        <v>0.03225806451612903</v>
      </c>
      <c r="G34" s="8">
        <f>G32/28</f>
        <v>0.10714285714285714</v>
      </c>
      <c r="H34" s="8">
        <f>H32/31</f>
        <v>0.0967741935483871</v>
      </c>
      <c r="I34" s="8">
        <f>I32/30</f>
        <v>0.1</v>
      </c>
      <c r="J34" s="8">
        <f>J32/31</f>
        <v>0.06451612903225806</v>
      </c>
      <c r="K34" s="8">
        <f>K32/30</f>
        <v>0.1</v>
      </c>
      <c r="L34" s="8">
        <f>L32/31</f>
        <v>0.06451612903225806</v>
      </c>
      <c r="M34" s="8">
        <f>M32/31</f>
        <v>0.06451612903225806</v>
      </c>
    </row>
    <row r="36" ht="17.25" customHeight="1"/>
    <row r="37" spans="1:8" ht="47.25" customHeight="1">
      <c r="A37" s="9" t="s">
        <v>20</v>
      </c>
      <c r="B37" s="15" t="s">
        <v>27</v>
      </c>
      <c r="C37" s="15" t="s">
        <v>24</v>
      </c>
      <c r="D37" s="15" t="s">
        <v>28</v>
      </c>
      <c r="E37" s="15" t="s">
        <v>21</v>
      </c>
      <c r="F37" s="15" t="s">
        <v>22</v>
      </c>
      <c r="G37" s="15" t="s">
        <v>23</v>
      </c>
      <c r="H37" s="15" t="s">
        <v>29</v>
      </c>
    </row>
    <row r="38" spans="2:8" ht="51.75" customHeight="1">
      <c r="B38" s="13">
        <f>COUNTIF('Main Data'!$D$2:$D$9984,"Monday")</f>
        <v>8</v>
      </c>
      <c r="C38" s="13">
        <f>COUNTIF('Main Data'!$D$2:$D$9984,"Tuesday")</f>
        <v>5</v>
      </c>
      <c r="D38" s="13">
        <f>COUNTIF('Main Data'!$D$2:$D$9984,"Wednesday")</f>
        <v>7</v>
      </c>
      <c r="E38" s="13">
        <f>COUNTIF('Main Data'!$D$2:$D$9984,"Thursday")</f>
        <v>2</v>
      </c>
      <c r="F38" s="13">
        <f>COUNTIF('Main Data'!$D$2:$D$9984,"Friday")</f>
        <v>4</v>
      </c>
      <c r="G38" s="13">
        <f>COUNTIF('Main Data'!$D$2:$D$9984,"Saturday")</f>
        <v>2</v>
      </c>
      <c r="H38" s="13">
        <f>COUNTIF('Main Data'!$D$2:$D$9984,"Sunday")</f>
        <v>2</v>
      </c>
    </row>
    <row r="40" spans="1:49" s="50" customFormat="1" ht="15.75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3" ht="48" customHeight="1">
      <c r="A41" s="9" t="s">
        <v>146</v>
      </c>
      <c r="B41" s="25" t="s">
        <v>147</v>
      </c>
      <c r="C41" s="25" t="s">
        <v>148</v>
      </c>
    </row>
    <row r="42" spans="2:3" ht="15.75">
      <c r="B42" s="13">
        <f>COUNTIF('Main Data'!$B$2:$B$9984,"Male")</f>
        <v>17</v>
      </c>
      <c r="C42" s="13">
        <f>COUNTIF('Main Data'!$B$2:$B$9984,"Female")</f>
        <v>13</v>
      </c>
    </row>
    <row r="43" spans="2:3" ht="15.75">
      <c r="B43" s="24"/>
      <c r="C43" s="24"/>
    </row>
    <row r="44" spans="10:11" ht="12.75">
      <c r="J44" s="35"/>
      <c r="K44" s="35"/>
    </row>
    <row r="45" spans="1:50" ht="63" customHeight="1">
      <c r="A45" s="9" t="s">
        <v>81</v>
      </c>
      <c r="B45" s="15" t="s">
        <v>78</v>
      </c>
      <c r="C45" s="15" t="s">
        <v>79</v>
      </c>
      <c r="D45" s="15" t="s">
        <v>197</v>
      </c>
      <c r="E45" s="15" t="s">
        <v>40</v>
      </c>
      <c r="AS45" s="1"/>
      <c r="AT45" s="1"/>
      <c r="AU45" s="1"/>
      <c r="AV45" s="1"/>
      <c r="AW45" s="1"/>
      <c r="AX45" s="1"/>
    </row>
    <row r="46" spans="2:50" ht="15.75">
      <c r="B46" s="13">
        <f>COUNTIF('Main Data'!$P$2:$P$9984,"contact manager")</f>
        <v>9</v>
      </c>
      <c r="C46" s="13">
        <f>COUNTIF('Main Data'!$P$2:$P$9984,"contact director")</f>
        <v>11</v>
      </c>
      <c r="D46" s="13">
        <f>COUNTIF('Main Data'!$P$2:$P$9984,"contact guardian")</f>
        <v>7</v>
      </c>
      <c r="E46" s="13">
        <f>COUNTIF('Main Data'!$P$2:$P$9984,"other")</f>
        <v>3</v>
      </c>
      <c r="AS46" s="1"/>
      <c r="AT46" s="1"/>
      <c r="AU46" s="1"/>
      <c r="AV46" s="1"/>
      <c r="AW46" s="1"/>
      <c r="AX46" s="1"/>
    </row>
    <row r="47" spans="2:51" ht="15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AY47" s="8"/>
    </row>
    <row r="48" spans="1:50" ht="63" customHeight="1">
      <c r="A48" s="9" t="s">
        <v>81</v>
      </c>
      <c r="B48" s="15" t="s">
        <v>216</v>
      </c>
      <c r="C48" s="15" t="s">
        <v>80</v>
      </c>
      <c r="D48" s="15" t="s">
        <v>222</v>
      </c>
      <c r="E48" s="15" t="s">
        <v>223</v>
      </c>
      <c r="F48" s="15" t="s">
        <v>224</v>
      </c>
      <c r="G48" s="15" t="s">
        <v>198</v>
      </c>
      <c r="H48" s="15" t="s">
        <v>195</v>
      </c>
      <c r="I48" s="15" t="s">
        <v>40</v>
      </c>
      <c r="AW48" s="1"/>
      <c r="AX48" s="1"/>
    </row>
    <row r="49" spans="2:50" ht="15.75">
      <c r="B49" s="13">
        <f>COUNTIF('Main Data'!$Q$2:$Q$9984,"Contact Nurse")</f>
        <v>4</v>
      </c>
      <c r="C49" s="13">
        <f>COUNTIF('Main Data'!$Q$2:$Q$9984,"Doctor Visit")</f>
        <v>3</v>
      </c>
      <c r="D49" s="13">
        <f>COUNTIF('Main Data'!$Q$2:$Q$9984,"Ambulance")</f>
        <v>4</v>
      </c>
      <c r="E49" s="13">
        <f>COUNTIF('Main Data'!$Q$2:$Q$9984,"police")</f>
        <v>4</v>
      </c>
      <c r="F49" s="13">
        <f>COUNTIF('Main Data'!$Q$2:$Q$9984,"Fire")</f>
        <v>4</v>
      </c>
      <c r="G49" s="13">
        <f>COUNTIF('Main Data'!$Q$2:$Q$9984,"Property Damage Resolved")</f>
        <v>4</v>
      </c>
      <c r="H49" s="13">
        <f>COUNTIF('Main Data'!$Q$2:$Q$9984,"emergency restraint")</f>
        <v>4</v>
      </c>
      <c r="I49" s="13">
        <f>COUNTIF('Main Data'!$P$2:$P$9984,"other")</f>
        <v>3</v>
      </c>
      <c r="AW49" s="1"/>
      <c r="AX49" s="1"/>
    </row>
    <row r="50" spans="2:51" ht="15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AY50" s="8"/>
    </row>
    <row r="51" spans="1:11" ht="12.75">
      <c r="A51" s="36"/>
      <c r="B51" s="35"/>
      <c r="H51" s="35"/>
      <c r="I51" s="35"/>
      <c r="J51" s="36"/>
      <c r="K51" s="35"/>
    </row>
    <row r="52" spans="1:50" ht="61.5" customHeight="1">
      <c r="A52" s="9" t="s">
        <v>205</v>
      </c>
      <c r="B52" s="15" t="s">
        <v>77</v>
      </c>
      <c r="C52" s="15" t="s">
        <v>76</v>
      </c>
      <c r="D52" s="15" t="s">
        <v>204</v>
      </c>
      <c r="E52" s="15" t="s">
        <v>194</v>
      </c>
      <c r="F52" s="15" t="s">
        <v>193</v>
      </c>
      <c r="G52" s="15" t="s">
        <v>40</v>
      </c>
      <c r="AU52" s="1"/>
      <c r="AV52" s="1"/>
      <c r="AW52" s="1"/>
      <c r="AX52" s="1"/>
    </row>
    <row r="53" spans="2:50" ht="15.75">
      <c r="B53" s="13">
        <f>COUNTIF('Main Data'!$M$2:$M$9984,"Blocking")</f>
        <v>4</v>
      </c>
      <c r="C53" s="13">
        <f>COUNTIF('Main Data'!$M$2:$M$9984,"Remove Object")</f>
        <v>4</v>
      </c>
      <c r="D53" s="13">
        <f>COUNTIF('Main Data'!$M$2:$M$9984,"Remove Audience")</f>
        <v>5</v>
      </c>
      <c r="E53" s="13">
        <f>COUNTIF('Main Data'!$M$2:$M$9984,"Verbal Redirection")</f>
        <v>8</v>
      </c>
      <c r="F53" s="13">
        <f>COUNTIF('Main Data'!$M$2:$M$9984,"Physical Redirection")</f>
        <v>6</v>
      </c>
      <c r="G53" s="13">
        <f>COUNTIF('Main Data'!$M$2:$M$9984,"other")</f>
        <v>3</v>
      </c>
      <c r="AU53" s="1"/>
      <c r="AV53" s="1"/>
      <c r="AW53" s="1"/>
      <c r="AX53" s="1"/>
    </row>
    <row r="54" spans="8:11" ht="12.75">
      <c r="H54" s="35"/>
      <c r="I54" s="35"/>
      <c r="J54" s="36"/>
      <c r="K54" s="35"/>
    </row>
    <row r="55" spans="1:52" ht="53.25" customHeight="1">
      <c r="A55" s="9" t="s">
        <v>183</v>
      </c>
      <c r="B55" s="25" t="s">
        <v>51</v>
      </c>
      <c r="C55" s="25" t="s">
        <v>206</v>
      </c>
      <c r="D55" s="25" t="s">
        <v>228</v>
      </c>
      <c r="E55" s="25" t="s">
        <v>229</v>
      </c>
      <c r="F55" s="25" t="s">
        <v>40</v>
      </c>
      <c r="J55" s="35"/>
      <c r="K55" s="35"/>
      <c r="L55" s="36"/>
      <c r="M55" s="35"/>
      <c r="AY55" s="8"/>
      <c r="AZ55" s="8"/>
    </row>
    <row r="56" spans="2:52" ht="15.75">
      <c r="B56" s="13">
        <f>COUNTIF('Main Data'!$O$2:$O$9984,"Staff")</f>
        <v>7</v>
      </c>
      <c r="C56" s="13">
        <f>COUNTIF('Main Data'!$O$2:$O$9984,"Peer")</f>
        <v>10</v>
      </c>
      <c r="D56" s="13">
        <f>COUNTIF('Main Data'!$O$2:$O$9984,"Self")</f>
        <v>6</v>
      </c>
      <c r="E56" s="13">
        <f>COUNTIF('Main Data'!$O$2:$O$9984,"Multi")</f>
        <v>4</v>
      </c>
      <c r="F56" s="13">
        <f>COUNTIF('Main Data'!$O$2:$O$9984,"Other")</f>
        <v>3</v>
      </c>
      <c r="J56" s="35"/>
      <c r="K56" s="35"/>
      <c r="L56" s="36"/>
      <c r="M56" s="35"/>
      <c r="AY56" s="8"/>
      <c r="AZ56" s="8"/>
    </row>
    <row r="57" spans="8:11" ht="12.75">
      <c r="H57" s="35"/>
      <c r="I57" s="35"/>
      <c r="J57" s="36"/>
      <c r="K57" s="35"/>
    </row>
    <row r="58" spans="8:11" ht="12.75">
      <c r="H58" s="35"/>
      <c r="I58" s="35"/>
      <c r="J58" s="36"/>
      <c r="K58" s="35"/>
    </row>
    <row r="59" spans="8:11" ht="12.75">
      <c r="H59" s="35"/>
      <c r="I59" s="35"/>
      <c r="J59" s="36"/>
      <c r="K59" s="35"/>
    </row>
    <row r="60" spans="8:11" ht="12.75">
      <c r="H60" s="35"/>
      <c r="I60" s="35"/>
      <c r="J60" s="36"/>
      <c r="K60" s="35"/>
    </row>
    <row r="61" spans="8:11" ht="12.75">
      <c r="H61" s="35"/>
      <c r="I61" s="35"/>
      <c r="J61" s="35"/>
      <c r="K61" s="35"/>
    </row>
  </sheetData>
  <sheetProtection/>
  <printOptions/>
  <pageMargins left="0.25" right="0.25" top="1" bottom="1" header="0.5" footer="0.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ROE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Regional Office of Education (Greg Dorsey &amp; Candi Hayward)</dc:creator>
  <cp:keywords/>
  <dc:description/>
  <cp:lastModifiedBy>Microsoft Office User</cp:lastModifiedBy>
  <cp:lastPrinted>2014-12-03T15:33:12Z</cp:lastPrinted>
  <dcterms:created xsi:type="dcterms:W3CDTF">1999-12-13T18:34:22Z</dcterms:created>
  <dcterms:modified xsi:type="dcterms:W3CDTF">2016-12-27T19:34:02Z</dcterms:modified>
  <cp:category/>
  <cp:version/>
  <cp:contentType/>
  <cp:contentStatus/>
</cp:coreProperties>
</file>